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งบทดลอง" sheetId="1" r:id="rId1"/>
    <sheet name="รายงานรับ-จ่าย" sheetId="2" r:id="rId2"/>
    <sheet name="หมายเหตุ" sheetId="3" r:id="rId3"/>
  </sheets>
  <definedNames/>
  <calcPr fullCalcOnLoad="1"/>
</workbook>
</file>

<file path=xl/sharedStrings.xml><?xml version="1.0" encoding="utf-8"?>
<sst xmlns="http://schemas.openxmlformats.org/spreadsheetml/2006/main" count="262" uniqueCount="199">
  <si>
    <t>องค์การบริหารส่วนตำบลขนอม  อำเภอขนอม  จังหวัดนครศรีธรรมราช</t>
  </si>
  <si>
    <t>งบทดลอง</t>
  </si>
  <si>
    <t>ณ  วันที่  30  มิถุนายน  2554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</si>
  <si>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</si>
  <si>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</si>
  <si>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</si>
  <si>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</si>
  <si>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</si>
  <si>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</si>
  <si>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บัญชีเงินธนาคารออมสิน          เลขที่ 08-6001-20-023848-1</t>
  </si>
  <si>
    <t>022</t>
  </si>
  <si>
    <t>บัญชีเงินฝากธนาคารกรุงไทย  เลขที่ 813-1-13443-1</t>
  </si>
  <si>
    <t>บัญชีเงินฝากธนาคารกรุงไทย  เลขที่ 813-1-19720-4</t>
  </si>
  <si>
    <t>บัญชีเงินฝากธนาคารกรุงไทย  เลขที่ 813-6-01622-4</t>
  </si>
  <si>
    <t>021</t>
  </si>
  <si>
    <t>บัญชีเงินฝากธนาคารกรุงไทย  เลขที่ 813-2-03128-8</t>
  </si>
  <si>
    <t>023</t>
  </si>
  <si>
    <t>บัญชีเงินฝากธนาคารกรุงไทย  เลขที่ 813-0-05686-0</t>
  </si>
  <si>
    <t>บัญชีเงินฝากธนาคารกรุงไทย  เลขที่ 813-0-07595-4</t>
  </si>
  <si>
    <t>บัญชีเงินฝากธนาคารกรุงไทย  เลขที่ 813-0-07956-9</t>
  </si>
  <si>
    <t>บัญชีเงินฝาก  ธ.ก.ส. เลขที่ 990-4-20413-4</t>
  </si>
  <si>
    <t>ลูกหนี้เงินยืมเงินงบประมาณ</t>
  </si>
  <si>
    <t>090</t>
  </si>
  <si>
    <t>ลูกหนี้เงินยืมเงินสะสม</t>
  </si>
  <si>
    <t>รายได้ค้างรับ</t>
  </si>
  <si>
    <t>ลูกหนี้เงินยืม-โครงการเศรษฐกิจชุมชน</t>
  </si>
  <si>
    <t>งบกลาง</t>
  </si>
  <si>
    <t>000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</si>
  <si>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</si>
  <si>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</si>
  <si>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</si>
  <si>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</si>
  <si>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</si>
  <si>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</si>
  <si>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</si>
  <si>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</si>
  <si>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</si>
  <si>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</si>
  <si>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 xml:space="preserve">                     รายจ่ายรอจ่าย</t>
  </si>
  <si>
    <t xml:space="preserve">                     รายจ่ายค้างจ่าย (เบิกตัดปี)</t>
  </si>
  <si>
    <t xml:space="preserve">                     เงินอุดหนุนเฉพาะกิจค้างจ่าย</t>
  </si>
  <si>
    <t xml:space="preserve">                     เงินสะสม</t>
  </si>
  <si>
    <t>700</t>
  </si>
  <si>
    <t xml:space="preserve">                     เงินทุนสำรองเงินสะสม</t>
  </si>
  <si>
    <t>703</t>
  </si>
  <si>
    <t xml:space="preserve">                     เงินรายรับ</t>
  </si>
  <si>
    <t xml:space="preserve">                                                   ยอดยกไป</t>
  </si>
  <si>
    <t xml:space="preserve">                                                   ยอดยกมา</t>
  </si>
  <si>
    <t xml:space="preserve">                     เงินรับฝาก (หมายเหตุ 2)</t>
  </si>
  <si>
    <t>900</t>
  </si>
  <si>
    <t xml:space="preserve">                     เงินอุดหนุนโครงการเศรษฐกิจชุมชน </t>
  </si>
  <si>
    <t xml:space="preserve">           ตรวจสอบแล้วถูกต้อง                                     ตรวจสอบแล้วถูกต้อง                                      ตรวจสอบแล้วถูกต้อง</t>
  </si>
  <si>
    <t xml:space="preserve">        (นางจันทิรา  พูนนวล)                                       (นายธวัชชัย  ไชยเทพ)                                   (นายโชคชัย  ทองสม)</t>
  </si>
  <si>
    <t xml:space="preserve">          หัวหน้าส่วนการคลัง                           ปลัดองค์การบริหารส่วนตำบล                นายกองค์การบริหารส่วนตำบลขนอม</t>
  </si>
  <si>
    <t>องค์การบริหารส่วนตำบลขนอม</t>
  </si>
  <si>
    <t>ปีงบประมาณ พ.ศ. 2554</t>
  </si>
  <si>
    <t>อำเภอขนอม จังหวัดนครศรีธรรมราช</t>
  </si>
  <si>
    <t>รายงาน รับ - จ่าย เงินสด</t>
  </si>
  <si>
    <t>ประจำเดือนมิถุนายน  2554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</si>
  <si>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</si>
  <si>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</si>
  <si>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</si>
  <si>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</si>
  <si>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</si>
  <si>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</si>
  <si>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</si>
  <si>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</si>
  <si>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</si>
  <si>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</si>
  <si>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</si>
  <si>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</si>
  <si>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</si>
  <si>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</si>
  <si>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</si>
  <si>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</si>
  <si>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</si>
  <si>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</si>
  <si>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</si>
  <si>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</si>
  <si>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เงินอุดหนุนทั่วไป</t>
  </si>
  <si>
    <t>2000</t>
  </si>
  <si>
    <t>เงินอุดหนุนทั่วไป ระบุวัตถุประสงค์</t>
  </si>
  <si>
    <t>3000</t>
  </si>
  <si>
    <t>เงินอุดหนุนศูนย์พัฒนาครอบครัวในชุมชน ปี 53</t>
  </si>
  <si>
    <t>เงินอุดหนุนทั่วไปโครงการไทยเข้มแข็ง</t>
  </si>
  <si>
    <t>งบกลาง-เงินอุดหนุนเฉพาะกิจเบี้ยยังชีพผู้สูงอายุ</t>
  </si>
  <si>
    <t>งบกลาง-เงินอุดหนุนเฉพาะกิจเบี้ยยังชีพคนพิการ</t>
  </si>
  <si>
    <t>งบกลาง-เงินอุดหนุนเฉพาะกิจเงินเดือน ผดด.ศพด.</t>
  </si>
  <si>
    <t>งบกลาง-เงินอุดหนุนศูนย์พัฒนาครอบครัวในชุมชน</t>
  </si>
  <si>
    <t>งบกลาง-เงินอุดหนุนเฉพาะกิจก่อสร้างศูนย์</t>
  </si>
  <si>
    <t>งบกลาง-เงินอุดหนุนเฉพาะกิจค่าวัสดุการศึกษา ศพด.</t>
  </si>
  <si>
    <t>งบกลาง-เงินอุดหนุนเฉพาะกิจเงินทุนการศึกษา ผดด.</t>
  </si>
  <si>
    <t>เงินรับฝาก (หมายเหตุ 2)</t>
  </si>
  <si>
    <t>บัญชีภาษีหน้าฎีกา</t>
  </si>
  <si>
    <t>999</t>
  </si>
  <si>
    <t xml:space="preserve">เงินสะสม </t>
  </si>
  <si>
    <t>เงินทุนโครงการเศรษฐกิจกิจชุมชน (บัญชี 2)</t>
  </si>
  <si>
    <t>รับคืนเงินเบี้ยยังชีพผู้สูงอายุ</t>
  </si>
  <si>
    <t>รับคืนเงินเบิกเกินส่งคืน</t>
  </si>
  <si>
    <t>รวมรายรับ</t>
  </si>
  <si>
    <t>รายจ่าย</t>
  </si>
  <si>
    <t>100</t>
  </si>
  <si>
    <t>120</t>
  </si>
  <si>
    <t>130</t>
  </si>
  <si>
    <t>200</t>
  </si>
  <si>
    <t>250</t>
  </si>
  <si>
    <t>270</t>
  </si>
  <si>
    <t>300</t>
  </si>
  <si>
    <t>400</t>
  </si>
  <si>
    <t>450</t>
  </si>
  <si>
    <t>550</t>
  </si>
  <si>
    <t>3003</t>
  </si>
  <si>
    <t>รายจ่ายค้างจ่าย (เบิกตัดปี)</t>
  </si>
  <si>
    <t>600</t>
  </si>
  <si>
    <t>เงินสะสม</t>
  </si>
  <si>
    <t>704</t>
  </si>
  <si>
    <t>เงินรับฝาก (หมายเหตุ 3)</t>
  </si>
  <si>
    <t>เงินค่าปรับหน้าฎีกา</t>
  </si>
  <si>
    <t>รายจ่ายรอจ่าย</t>
  </si>
  <si>
    <t>เงินอุดหนุนระบุวัตถุประสงค์ (หมายเหตุ 1)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</si>
  <si>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</si>
  <si>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</si>
  <si>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</si>
  <si>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</si>
  <si>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</si>
  <si>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(ลงชื่อ)...................................................      (ลงชื่อ)..................................................        (ลงชื่อ)...........................................................</t>
  </si>
  <si>
    <t xml:space="preserve">                (นางจันทิรา  พูนนวล)                                (นายธวัชชัย  ไชยเทพ)                                (นายโชคชัย  ทองสม)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</si>
  <si>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</si>
  <si>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                หัวหน้าส่วนการคลัง                           ปลัดองค์การบริหารส่วนตำบล          </t>
    </r>
    <r>
      <rPr>
        <sz val="15"/>
        <rFont val="Angsana New"/>
        <family val="1"/>
      </rPr>
      <t>นายกองค์การบริหารส่วนตำบลขนอม</t>
    </r>
  </si>
  <si>
    <t>เงินรับฝาก (หมายเหตุ 2) ประกอบงบทดลอง เดือนมิถุนายน  2554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</si>
  <si>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</si>
  <si>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</si>
  <si>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</si>
  <si>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</si>
  <si>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ค่าใบอนุญาตประกอบกิจการประเภทที่ 3</t>
  </si>
  <si>
    <t>ค่าขายแบบ(เงินอุดหนุนทั่วไปโครงการไทยเข้มแข็งฯ)</t>
  </si>
  <si>
    <t>เงินอุดหนุนเฉพาะกิจเบี้ยยังชีพผู้สูงอายุ(ปีงบประมาณ 2553)</t>
  </si>
  <si>
    <t>เงินอุดหนุนเฉพาะกิจเบี้ยยังชีพคนพิการ(ปีงบประมาณ 2553)</t>
  </si>
  <si>
    <t>เงินอุดหนุนเฉพาะกิจ(เงินเดือน ผดด.ศพด.)</t>
  </si>
  <si>
    <t>เงินอุดหนุนเฉพาะกิจเบี้ยยังชีพผู้สูงอายุ</t>
  </si>
  <si>
    <t>เงินอุดหนุนเฉพาะกิจเบี้ยยังชีพคนพิการ</t>
  </si>
  <si>
    <t>เงินอุดหนุนเฉพาะกิจ-ค่าวัสดุการศึกษา ศพด.</t>
  </si>
  <si>
    <t>เงินอุดหนุนเฉพาะกิจ-เงินทุนการศึกษา ผดด.ศพด.</t>
  </si>
  <si>
    <t>เงินอุดหนุนศูนย์พัฒนาครอบครัวในชุมชน</t>
  </si>
  <si>
    <t>รวม</t>
  </si>
  <si>
    <t>เงินรายรับ (หมายเหตุ 1) ประกอบรายงานรับ-จ่ายเงินสด เดือนมิถุนายน  2554</t>
  </si>
  <si>
    <t>หมวดภาษีอากร</t>
  </si>
  <si>
    <t xml:space="preserve">        ภาษีโรงเรือนและที่ดิน</t>
  </si>
  <si>
    <t xml:space="preserve">        ภาษีบำรุงท้องที่</t>
  </si>
  <si>
    <t xml:space="preserve">        ภาษีป้าย</t>
  </si>
  <si>
    <t xml:space="preserve">        อากรฆ่าสัตว์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</si>
  <si>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</si>
  <si>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</si>
  <si>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 xml:space="preserve">        ค่าปรับผู้กระทำผิดกฏหมายจราจรทางบก</t>
  </si>
  <si>
    <t xml:space="preserve">        ค่าปรับการผิดสัญญา</t>
  </si>
  <si>
    <t xml:space="preserve">        ค่าธรรมเนียมเกี่ยวกับควบคุมการฆ่าสัตว์ฯ</t>
  </si>
  <si>
    <t xml:space="preserve">        ค่าธรรมเนียมเกี่ยวกับควบคุมอาคาร(ตรวจแบบแปลน)</t>
  </si>
  <si>
    <t xml:space="preserve">        ค่าใบอนุญาตเกี่ยวกับการควบคุมอาคาร</t>
  </si>
  <si>
    <t xml:space="preserve">        ค่าใบอนุญาตกิจการที่เป็นอันตรายต่อสุขภาพ</t>
  </si>
  <si>
    <t xml:space="preserve">        ค่าใบอนุญาตจำหน่ายสินค้าในที่สาธารณะ</t>
  </si>
  <si>
    <t xml:space="preserve">        ค่าใบอนุญาตอื่น ๆ</t>
  </si>
  <si>
    <t>หมวดรายได้จากทรัยพ์สิน</t>
  </si>
  <si>
    <t xml:space="preserve">        ดอกเบี้ยเงินฝากธนาคาร</t>
  </si>
  <si>
    <t xml:space="preserve">        ค่าเช่าหรือค่าบริการสถานที่</t>
  </si>
  <si>
    <t>หมวดรายได้จากสาธารณูปโภคและกิจการพาณิชย์</t>
  </si>
  <si>
    <t xml:space="preserve">        รายได้จากการดำเนินกิจการตลาด</t>
  </si>
  <si>
    <t>หมวดรายได้เบ็ดเตล็ด</t>
  </si>
  <si>
    <t xml:space="preserve">        ค่าขายเอกสารสอบราคา(ค่าขายแบบแปลน)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</si>
  <si>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</si>
  <si>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</si>
  <si>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</si>
  <si>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</si>
  <si>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 xml:space="preserve">         ค่าภาคหลวงและค่าธรรมเนียมป่าไม้</t>
  </si>
  <si>
    <t xml:space="preserve">         ค่าภาคหลวงแร่</t>
  </si>
  <si>
    <t xml:space="preserve">         ค่าภาคหลวงปิโตรเลียม</t>
  </si>
  <si>
    <t xml:space="preserve">         ภาษีมูลค่าเพิ่ม 1 ใน 9</t>
  </si>
  <si>
    <t xml:space="preserve">         ภาษีมูลค่าเพิ่มตาม พ.ร.บ.</t>
  </si>
  <si>
    <t xml:space="preserve">         ภาษีธุรกิจเฉพาะ</t>
  </si>
  <si>
    <t xml:space="preserve">         ค่าธรรมเนียมจดทะเบียนสิทธิและนิติกรรมที่ดิน</t>
  </si>
  <si>
    <t xml:space="preserve">         ค่าอากรประทานบัตรและอาชญาบัตรประมง</t>
  </si>
  <si>
    <t>หมวดเงินอุดหนุนทั่วไป</t>
  </si>
  <si>
    <t xml:space="preserve">         เงินอุดหนุนทั่วไปตามอำนาจหน้าที่ฯ</t>
  </si>
  <si>
    <t xml:space="preserve">         เงินอุดหนุนทั่วไป(ค่าอาหารกลางวันศูนย์)</t>
  </si>
  <si>
    <t>เงินอุดหนุนเฉพาะกิจ</t>
  </si>
  <si>
    <t xml:space="preserve">       เงินอุดหนุนโครงการสร้างบทบาทและพื้นที่สร้างสรรค์</t>
  </si>
  <si>
    <t xml:space="preserve">       เงินอุดหนุนสงเคราะห์เบี้ยยังชีพคนชรา</t>
  </si>
  <si>
    <t xml:space="preserve">       เงินอุดหนุนสงเคราะห์เบี้ยยังชีพคนพิการ</t>
  </si>
  <si>
    <t>รวมทั้งสิ้น</t>
  </si>
  <si>
    <t>เงินรับฝากด้านรับ (หมายเหตุ 2) ประกอบรายงานรับ-จ่ายเงินสด เดือนมิถุนายน  2554</t>
  </si>
  <si>
    <t xml:space="preserve">          ภาษีหัก ณ ที่จ่าย</t>
  </si>
  <si>
    <t xml:space="preserve">          เงินประกันสัญญา</t>
  </si>
  <si>
    <t xml:space="preserve">          ค่าใช้จ่ายในการจัดเก็บ 5%</t>
  </si>
  <si>
    <t xml:space="preserve">          ค่าส่วนลดในการจัดเก็บ 6%</t>
  </si>
  <si>
    <t xml:space="preserve">          ค่าปรับการผิดสัญญา(โครงการไทยเข้มแข็ง)</t>
  </si>
  <si>
    <t xml:space="preserve">  รวม</t>
  </si>
  <si>
    <t>เงินรับฝากด้านจ่าย(หมายเหตุ 3) ประกอบรายงานรับ-จ่ายเงินสด เดือนมิถุนายน  2554</t>
  </si>
  <si>
    <t xml:space="preserve">          ค่าใบอนุญาตประกอบกิจการประเภทที่ 3</t>
  </si>
  <si>
    <t xml:space="preserve">          บัญชีภาษีหน้าฎีกา</t>
  </si>
  <si>
    <t xml:space="preserve">          บัญชีค่าปรับหักหน้าฏีกา (เงินค่าปรับวัสดุการศึกษา)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</si>
</sst>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00"/>
    <numFmt numFmtId="181" formatCode="_-* #,##0.0_-;\-* #,##0.0_-;_-* &quot;-&quot;_-;_-@_-"/>
    <numFmt numFmtId="182" formatCode="_-* #,##0.00_-;\-* #,##0.00_-;_-* &quot;-&quot;_-;_-@_-"/>
    <numFmt numFmtId="183" formatCode="0.0"/>
    <numFmt numFmtId="184" formatCode="#,##0_ ;\-#,##0\ "/>
    <numFmt numFmtId="185" formatCode="#,##0;\(#,##0\)"/>
    <numFmt numFmtId="186" formatCode="#,##0;\(#,##0.00\)"/>
    <numFmt numFmtId="187" formatCode="_-* #,##0.000_-;\-* #,##0.000_-;_-* &quot;-&quot;??_-;_-@_-"/>
    <numFmt numFmtId="188" formatCode="\(\-#,##0\)"/>
    <numFmt numFmtId="189" formatCode="\(#,##0\)"/>
    <numFmt numFmtId="190" formatCode="\(#,##0.00\)"/>
    <numFmt numFmtId="191" formatCode="\t&quot;฿&quot;#,##0_);[Red]\(#,##0.00\)"/>
    <numFmt numFmtId="192" formatCode=";\(#,##0.00\);"/>
    <numFmt numFmtId="193" formatCode="[$-41E]d\ mmmm\ yyyy"/>
    <numFmt numFmtId="194" formatCode="\(\t&quot;฿&quot;#,##0\)"/>
    <numFmt numFmtId="195" formatCode="[$-409]dddd\,\ mmmm\ dd\,\ yyyy"/>
    <numFmt numFmtId="196" formatCode="_-* #,##0.0_-;\-* #,##0.0_-;_-* &quot;-&quot;??_-;_-@_-"/>
    <numFmt numFmtId="197" formatCode="_-* #,##0_-;\-* #,##0_-;_-* &quot;-&quot;??_-;_-@_-"/>
    <numFmt numFmtId="198" formatCode="\(\-#,##0.00\)"/>
    <numFmt numFmtId="199" formatCode="[Red]\(#,##0.00\)"/>
    <numFmt numFmtId="200" formatCode="[Red]General;\(#,##0.00\)"/>
    <numFmt numFmtId="201" formatCode="General;\(#,##0.00\)"/>
    <numFmt numFmtId="202" formatCode="#,##0_);[Red]\(#,##0.00\)"/>
  </numFmts>
  <fonts count="45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8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50" applyFont="1">
      <alignment/>
      <protection/>
    </xf>
    <xf numFmtId="0" fontId="4" fillId="0" borderId="10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>
      <alignment/>
      <protection/>
    </xf>
    <xf numFmtId="0" fontId="5" fillId="0" borderId="12" xfId="50" applyFont="1" applyBorder="1" applyAlignment="1" quotePrefix="1">
      <alignment horizontal="center"/>
      <protection/>
    </xf>
    <xf numFmtId="43" fontId="5" fillId="0" borderId="12" xfId="50" applyNumberFormat="1" applyFont="1" applyBorder="1">
      <alignment/>
      <protection/>
    </xf>
    <xf numFmtId="0" fontId="5" fillId="0" borderId="13" xfId="50" applyFont="1" applyBorder="1">
      <alignment/>
      <protection/>
    </xf>
    <xf numFmtId="43" fontId="5" fillId="0" borderId="0" xfId="50" applyNumberFormat="1" applyFont="1">
      <alignment/>
      <protection/>
    </xf>
    <xf numFmtId="43" fontId="5" fillId="0" borderId="0" xfId="43" applyFont="1" applyAlignment="1">
      <alignment/>
    </xf>
    <xf numFmtId="0" fontId="5" fillId="0" borderId="12" xfId="50" applyFont="1" applyBorder="1" applyAlignment="1">
      <alignment horizontal="center"/>
      <protection/>
    </xf>
    <xf numFmtId="49" fontId="5" fillId="0" borderId="12" xfId="50" applyNumberFormat="1" applyFont="1" applyBorder="1" applyAlignment="1">
      <alignment horizontal="center"/>
      <protection/>
    </xf>
    <xf numFmtId="43" fontId="5" fillId="0" borderId="0" xfId="50" applyNumberFormat="1" applyFont="1" applyBorder="1">
      <alignment/>
      <protection/>
    </xf>
    <xf numFmtId="0" fontId="5" fillId="0" borderId="13" xfId="50" applyFont="1" applyBorder="1" applyAlignment="1">
      <alignment shrinkToFit="1"/>
      <protection/>
    </xf>
    <xf numFmtId="43" fontId="4" fillId="0" borderId="0" xfId="50" applyNumberFormat="1" applyFont="1">
      <alignment/>
      <protection/>
    </xf>
    <xf numFmtId="0" fontId="5" fillId="0" borderId="14" xfId="50" applyFont="1" applyBorder="1">
      <alignment/>
      <protection/>
    </xf>
    <xf numFmtId="0" fontId="5" fillId="0" borderId="15" xfId="50" applyFont="1" applyBorder="1" applyAlignment="1" quotePrefix="1">
      <alignment horizontal="center"/>
      <protection/>
    </xf>
    <xf numFmtId="43" fontId="5" fillId="0" borderId="15" xfId="50" applyNumberFormat="1" applyFont="1" applyBorder="1">
      <alignment/>
      <protection/>
    </xf>
    <xf numFmtId="0" fontId="5" fillId="0" borderId="0" xfId="50" applyFont="1" applyBorder="1">
      <alignment/>
      <protection/>
    </xf>
    <xf numFmtId="0" fontId="5" fillId="0" borderId="0" xfId="50" applyFont="1" applyBorder="1" applyAlignment="1" quotePrefix="1">
      <alignment horizontal="center"/>
      <protection/>
    </xf>
    <xf numFmtId="0" fontId="4" fillId="0" borderId="16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 applyAlignment="1" quotePrefix="1">
      <alignment horizontal="center"/>
      <protection/>
    </xf>
    <xf numFmtId="43" fontId="5" fillId="0" borderId="18" xfId="50" applyNumberFormat="1" applyFont="1" applyBorder="1">
      <alignment/>
      <protection/>
    </xf>
    <xf numFmtId="0" fontId="4" fillId="0" borderId="14" xfId="50" applyFont="1" applyBorder="1">
      <alignment/>
      <protection/>
    </xf>
    <xf numFmtId="0" fontId="5" fillId="0" borderId="15" xfId="50" applyFont="1" applyBorder="1" applyAlignment="1">
      <alignment horizontal="center"/>
      <protection/>
    </xf>
    <xf numFmtId="43" fontId="5" fillId="0" borderId="19" xfId="50" applyNumberFormat="1" applyFont="1" applyBorder="1">
      <alignment/>
      <protection/>
    </xf>
    <xf numFmtId="0" fontId="5" fillId="0" borderId="0" xfId="50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43" fontId="5" fillId="0" borderId="24" xfId="51" applyNumberFormat="1" applyFont="1" applyBorder="1">
      <alignment/>
      <protection/>
    </xf>
    <xf numFmtId="43" fontId="4" fillId="0" borderId="24" xfId="51" applyNumberFormat="1" applyFont="1" applyBorder="1">
      <alignment/>
      <protection/>
    </xf>
    <xf numFmtId="0" fontId="5" fillId="0" borderId="24" xfId="51" applyFont="1" applyBorder="1">
      <alignment/>
      <protection/>
    </xf>
    <xf numFmtId="43" fontId="5" fillId="0" borderId="12" xfId="51" applyNumberFormat="1" applyFont="1" applyBorder="1">
      <alignment/>
      <protection/>
    </xf>
    <xf numFmtId="0" fontId="9" fillId="0" borderId="12" xfId="51" applyFont="1" applyBorder="1">
      <alignment/>
      <protection/>
    </xf>
    <xf numFmtId="0" fontId="5" fillId="0" borderId="12" xfId="51" applyFont="1" applyBorder="1">
      <alignment/>
      <protection/>
    </xf>
    <xf numFmtId="49" fontId="5" fillId="0" borderId="12" xfId="51" applyNumberFormat="1" applyFont="1" applyBorder="1" applyAlignment="1">
      <alignment horizontal="center"/>
      <protection/>
    </xf>
    <xf numFmtId="43" fontId="5" fillId="0" borderId="0" xfId="51" applyNumberFormat="1" applyFont="1" applyBorder="1">
      <alignment/>
      <protection/>
    </xf>
    <xf numFmtId="43" fontId="5" fillId="0" borderId="19" xfId="51" applyNumberFormat="1" applyFont="1" applyBorder="1">
      <alignment/>
      <protection/>
    </xf>
    <xf numFmtId="43" fontId="5" fillId="0" borderId="0" xfId="51" applyNumberFormat="1" applyFont="1">
      <alignment/>
      <protection/>
    </xf>
    <xf numFmtId="49" fontId="5" fillId="0" borderId="15" xfId="51" applyNumberFormat="1" applyFont="1" applyBorder="1" applyAlignment="1">
      <alignment horizontal="center"/>
      <protection/>
    </xf>
    <xf numFmtId="43" fontId="5" fillId="0" borderId="25" xfId="51" applyNumberFormat="1" applyFont="1" applyBorder="1">
      <alignment/>
      <protection/>
    </xf>
    <xf numFmtId="0" fontId="5" fillId="0" borderId="26" xfId="51" applyFont="1" applyBorder="1">
      <alignment/>
      <protection/>
    </xf>
    <xf numFmtId="0" fontId="5" fillId="0" borderId="27" xfId="51" applyFont="1" applyBorder="1" applyAlignment="1">
      <alignment horizontal="center"/>
      <protection/>
    </xf>
    <xf numFmtId="0" fontId="4" fillId="0" borderId="26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43" fontId="5" fillId="0" borderId="20" xfId="51" applyNumberFormat="1" applyFont="1" applyBorder="1" applyAlignment="1">
      <alignment horizontal="center" vertical="center"/>
      <protection/>
    </xf>
    <xf numFmtId="43" fontId="5" fillId="0" borderId="18" xfId="51" applyNumberFormat="1" applyFont="1" applyBorder="1" applyAlignment="1">
      <alignment horizontal="center" vertical="center" wrapText="1"/>
      <protection/>
    </xf>
    <xf numFmtId="43" fontId="5" fillId="0" borderId="23" xfId="51" applyNumberFormat="1" applyFont="1" applyBorder="1" applyAlignment="1">
      <alignment horizontal="center" vertical="center"/>
      <protection/>
    </xf>
    <xf numFmtId="0" fontId="9" fillId="0" borderId="24" xfId="51" applyFont="1" applyBorder="1">
      <alignment/>
      <protection/>
    </xf>
    <xf numFmtId="0" fontId="5" fillId="0" borderId="24" xfId="51" applyFont="1" applyBorder="1" applyAlignment="1">
      <alignment horizontal="center"/>
      <protection/>
    </xf>
    <xf numFmtId="0" fontId="5" fillId="0" borderId="0" xfId="51" applyFont="1" applyBorder="1">
      <alignment/>
      <protection/>
    </xf>
    <xf numFmtId="43" fontId="5" fillId="0" borderId="15" xfId="51" applyNumberFormat="1" applyFont="1" applyBorder="1">
      <alignment/>
      <protection/>
    </xf>
    <xf numFmtId="0" fontId="5" fillId="0" borderId="26" xfId="51" applyFont="1" applyBorder="1" applyAlignment="1">
      <alignment horizontal="center" shrinkToFit="1"/>
      <protection/>
    </xf>
    <xf numFmtId="40" fontId="5" fillId="0" borderId="12" xfId="51" applyNumberFormat="1" applyFont="1" applyBorder="1">
      <alignment/>
      <protection/>
    </xf>
    <xf numFmtId="0" fontId="5" fillId="0" borderId="26" xfId="51" applyFont="1" applyBorder="1" applyAlignment="1">
      <alignment shrinkToFit="1"/>
      <protection/>
    </xf>
    <xf numFmtId="43" fontId="5" fillId="0" borderId="0" xfId="44" applyFont="1" applyAlignment="1">
      <alignment/>
    </xf>
    <xf numFmtId="0" fontId="5" fillId="0" borderId="0" xfId="52" applyFont="1">
      <alignment/>
      <protection/>
    </xf>
    <xf numFmtId="43" fontId="5" fillId="0" borderId="0" xfId="45" applyFont="1" applyAlignment="1">
      <alignment/>
    </xf>
    <xf numFmtId="0" fontId="5" fillId="0" borderId="21" xfId="52" applyFont="1" applyBorder="1">
      <alignment/>
      <protection/>
    </xf>
    <xf numFmtId="0" fontId="5" fillId="0" borderId="17" xfId="52" applyFont="1" applyBorder="1">
      <alignment/>
      <protection/>
    </xf>
    <xf numFmtId="43" fontId="5" fillId="0" borderId="18" xfId="45" applyNumberFormat="1" applyFont="1" applyBorder="1" applyAlignment="1">
      <alignment/>
    </xf>
    <xf numFmtId="0" fontId="5" fillId="0" borderId="26" xfId="52" applyFont="1" applyBorder="1">
      <alignment/>
      <protection/>
    </xf>
    <xf numFmtId="0" fontId="5" fillId="0" borderId="13" xfId="52" applyFont="1" applyBorder="1">
      <alignment/>
      <protection/>
    </xf>
    <xf numFmtId="43" fontId="5" fillId="0" borderId="12" xfId="45" applyNumberFormat="1" applyFont="1" applyBorder="1" applyAlignment="1">
      <alignment/>
    </xf>
    <xf numFmtId="43" fontId="5" fillId="0" borderId="0" xfId="52" applyNumberFormat="1" applyFont="1">
      <alignment/>
      <protection/>
    </xf>
    <xf numFmtId="43" fontId="4" fillId="0" borderId="25" xfId="45" applyNumberFormat="1" applyFont="1" applyBorder="1" applyAlignment="1">
      <alignment/>
    </xf>
    <xf numFmtId="0" fontId="5" fillId="0" borderId="0" xfId="52" applyFont="1" applyBorder="1">
      <alignment/>
      <protection/>
    </xf>
    <xf numFmtId="43" fontId="4" fillId="0" borderId="0" xfId="45" applyNumberFormat="1" applyFont="1" applyBorder="1" applyAlignment="1">
      <alignment/>
    </xf>
    <xf numFmtId="0" fontId="9" fillId="0" borderId="21" xfId="52" applyFont="1" applyBorder="1">
      <alignment/>
      <protection/>
    </xf>
    <xf numFmtId="0" fontId="9" fillId="0" borderId="17" xfId="52" applyFont="1" applyBorder="1">
      <alignment/>
      <protection/>
    </xf>
    <xf numFmtId="43" fontId="4" fillId="0" borderId="19" xfId="45" applyNumberFormat="1" applyFont="1" applyBorder="1" applyAlignment="1">
      <alignment/>
    </xf>
    <xf numFmtId="43" fontId="5" fillId="0" borderId="12" xfId="52" applyNumberFormat="1" applyFont="1" applyBorder="1">
      <alignment/>
      <protection/>
    </xf>
    <xf numFmtId="0" fontId="9" fillId="0" borderId="26" xfId="52" applyFont="1" applyBorder="1">
      <alignment/>
      <protection/>
    </xf>
    <xf numFmtId="0" fontId="9" fillId="0" borderId="13" xfId="52" applyFont="1" applyBorder="1">
      <alignment/>
      <protection/>
    </xf>
    <xf numFmtId="0" fontId="5" fillId="0" borderId="26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43" fontId="5" fillId="0" borderId="13" xfId="52" applyNumberFormat="1" applyFont="1" applyBorder="1">
      <alignment/>
      <protection/>
    </xf>
    <xf numFmtId="0" fontId="5" fillId="0" borderId="26" xfId="52" applyFont="1" applyBorder="1" applyAlignment="1">
      <alignment/>
      <protection/>
    </xf>
    <xf numFmtId="0" fontId="5" fillId="0" borderId="13" xfId="52" applyFont="1" applyBorder="1" applyAlignment="1">
      <alignment/>
      <protection/>
    </xf>
    <xf numFmtId="43" fontId="5" fillId="0" borderId="12" xfId="52" applyNumberFormat="1" applyFont="1" applyBorder="1" applyAlignment="1">
      <alignment/>
      <protection/>
    </xf>
    <xf numFmtId="0" fontId="9" fillId="0" borderId="26" xfId="52" applyFont="1" applyBorder="1" applyAlignment="1">
      <alignment horizontal="left"/>
      <protection/>
    </xf>
    <xf numFmtId="0" fontId="9" fillId="0" borderId="13" xfId="52" applyFont="1" applyBorder="1" applyAlignment="1">
      <alignment horizontal="left"/>
      <protection/>
    </xf>
    <xf numFmtId="43" fontId="4" fillId="0" borderId="19" xfId="52" applyNumberFormat="1" applyFont="1" applyBorder="1" applyAlignment="1">
      <alignment horizontal="center"/>
      <protection/>
    </xf>
    <xf numFmtId="0" fontId="5" fillId="0" borderId="26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/>
      <protection/>
    </xf>
    <xf numFmtId="43" fontId="5" fillId="0" borderId="12" xfId="52" applyNumberFormat="1" applyFont="1" applyBorder="1" applyAlignment="1">
      <alignment horizontal="center"/>
      <protection/>
    </xf>
    <xf numFmtId="0" fontId="4" fillId="0" borderId="28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5" fillId="0" borderId="21" xfId="52" applyFont="1" applyBorder="1" applyAlignment="1">
      <alignment horizontal="left"/>
      <protection/>
    </xf>
    <xf numFmtId="0" fontId="5" fillId="0" borderId="17" xfId="52" applyFont="1" applyBorder="1" applyAlignment="1">
      <alignment horizontal="left"/>
      <protection/>
    </xf>
    <xf numFmtId="43" fontId="5" fillId="0" borderId="18" xfId="52" applyNumberFormat="1" applyFont="1" applyBorder="1" applyAlignment="1">
      <alignment horizontal="center"/>
      <protection/>
    </xf>
    <xf numFmtId="0" fontId="5" fillId="0" borderId="26" xfId="52" applyFont="1" applyFill="1" applyBorder="1" applyAlignment="1">
      <alignment horizontal="left"/>
      <protection/>
    </xf>
    <xf numFmtId="0" fontId="5" fillId="0" borderId="13" xfId="52" applyFont="1" applyFill="1" applyBorder="1" applyAlignment="1">
      <alignment horizontal="left"/>
      <protection/>
    </xf>
    <xf numFmtId="43" fontId="5" fillId="0" borderId="0" xfId="52" applyNumberFormat="1" applyFont="1" applyBorder="1">
      <alignment/>
      <protection/>
    </xf>
    <xf numFmtId="0" fontId="4" fillId="0" borderId="0" xfId="50" applyFont="1" applyAlignment="1">
      <alignment horizontal="center"/>
      <protection/>
    </xf>
    <xf numFmtId="0" fontId="4" fillId="0" borderId="29" xfId="50" applyFont="1" applyBorder="1" applyAlignment="1">
      <alignment horizontal="center"/>
      <protection/>
    </xf>
    <xf numFmtId="0" fontId="4" fillId="0" borderId="0" xfId="51" applyFont="1" applyAlignment="1">
      <alignment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4" fillId="0" borderId="29" xfId="51" applyFont="1" applyBorder="1" applyAlignment="1">
      <alignment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0" fontId="10" fillId="0" borderId="32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29" xfId="51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shrinkToFit="1"/>
      <protection/>
    </xf>
    <xf numFmtId="0" fontId="4" fillId="0" borderId="33" xfId="52" applyFont="1" applyBorder="1" applyAlignment="1">
      <alignment horizontal="center" vertical="center" shrinkToFit="1"/>
      <protection/>
    </xf>
    <xf numFmtId="0" fontId="4" fillId="0" borderId="33" xfId="52" applyFont="1" applyBorder="1" applyAlignment="1">
      <alignment horizontal="center" shrinkToFit="1"/>
      <protection/>
    </xf>
    <xf numFmtId="0" fontId="4" fillId="0" borderId="28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ทดลอง 54" xfId="43"/>
    <cellStyle name="เครื่องหมายจุลภาค_รายงานรับ-จ่ายสด ปี 53" xfId="44"/>
    <cellStyle name="เครื่องหมายจุลภาค_หมายเหตุ 1,2,3 ปี 255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งบทดลอง 54" xfId="50"/>
    <cellStyle name="ปกติ_รายงานรับ-จ่ายสด ปี 53" xfId="51"/>
    <cellStyle name="ปกติ_หมายเหตุ 1,2,3 ปี 255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F46" sqref="F46"/>
    </sheetView>
  </sheetViews>
  <sheetFormatPr defaultColWidth="9.140625" defaultRowHeight="12.75"/>
  <cols>
    <col min="1" max="1" width="60.421875" style="1" customWidth="1"/>
    <col min="2" max="2" width="9.421875" style="1" customWidth="1"/>
    <col min="3" max="3" width="15.7109375" style="1" customWidth="1"/>
    <col min="4" max="4" width="15.140625" style="1" customWidth="1"/>
    <col min="5" max="5" width="13.8515625" style="1" bestFit="1" customWidth="1"/>
    <col min="6" max="6" width="13.8515625" style="1" customWidth="1"/>
    <col min="7" max="8" width="13.8515625" style="1" bestFit="1" customWidth="1"/>
    <col min="9" max="10" width="12.7109375" style="1" bestFit="1" customWidth="1"/>
    <col min="11" max="11" width="10.28125" style="1" bestFit="1" customWidth="1"/>
    <col min="12" max="16384" width="9.140625" style="1" customWidth="1"/>
  </cols>
  <sheetData>
    <row r="1" spans="1:4" ht="23.25">
      <c r="A1" s="105" t="s">
        <v>0</v>
      </c>
      <c r="B1" s="105"/>
      <c r="C1" s="105"/>
      <c r="D1" s="105"/>
    </row>
    <row r="2" spans="1:4" ht="23.25">
      <c r="A2" s="105" t="s">
        <v>1</v>
      </c>
      <c r="B2" s="105"/>
      <c r="C2" s="105"/>
      <c r="D2" s="105"/>
    </row>
    <row r="3" spans="1:4" ht="24" thickBot="1">
      <c r="A3" s="106" t="s">
        <v>2</v>
      </c>
      <c r="B3" s="106"/>
      <c r="C3" s="106"/>
      <c r="D3" s="106"/>
    </row>
    <row r="4" spans="1:4" ht="24.75" thickBot="1" thickTop="1">
      <c r="A4" s="2" t="s">
        <v>3</v>
      </c>
      <c r="B4" s="3" t="s">
        <v>4</v>
      </c>
      <c r="C4" s="3" t="s">
        <v>5</v>
      </c>
      <c r="D4" s="3" t="s">
        <v>6</v>
      </c>
    </row>
    <row r="5" spans="1:4" ht="24" thickTop="1">
      <c r="A5" s="4" t="s">
        <v>7</v>
      </c>
      <c r="B5" s="5" t="s">
        <v>8</v>
      </c>
      <c r="C5" s="6">
        <v>0</v>
      </c>
      <c r="D5" s="6"/>
    </row>
    <row r="6" spans="1:8" ht="23.25">
      <c r="A6" s="7" t="s">
        <v>9</v>
      </c>
      <c r="B6" s="5" t="s">
        <v>10</v>
      </c>
      <c r="C6" s="6">
        <v>86092.14</v>
      </c>
      <c r="D6" s="6"/>
      <c r="H6" s="8"/>
    </row>
    <row r="7" spans="1:8" ht="23.25">
      <c r="A7" s="7" t="s">
        <v>11</v>
      </c>
      <c r="B7" s="5" t="s">
        <v>10</v>
      </c>
      <c r="C7" s="6">
        <v>11695523.32</v>
      </c>
      <c r="D7" s="6"/>
      <c r="G7" s="8"/>
      <c r="H7" s="8"/>
    </row>
    <row r="8" spans="1:8" ht="23.25">
      <c r="A8" s="7" t="s">
        <v>12</v>
      </c>
      <c r="B8" s="5" t="s">
        <v>10</v>
      </c>
      <c r="C8" s="6">
        <v>1243631.22</v>
      </c>
      <c r="D8" s="6"/>
      <c r="G8" s="8"/>
      <c r="H8" s="8"/>
    </row>
    <row r="9" spans="1:8" ht="23.25" hidden="1">
      <c r="A9" s="7" t="s">
        <v>13</v>
      </c>
      <c r="B9" s="5" t="s">
        <v>14</v>
      </c>
      <c r="C9" s="6">
        <v>0</v>
      </c>
      <c r="D9" s="6"/>
      <c r="G9" s="8"/>
      <c r="H9" s="8"/>
    </row>
    <row r="10" spans="1:8" ht="23.25">
      <c r="A10" s="7" t="s">
        <v>15</v>
      </c>
      <c r="B10" s="5" t="s">
        <v>16</v>
      </c>
      <c r="C10" s="6">
        <f>5123907.59+16789.57</f>
        <v>5140697.16</v>
      </c>
      <c r="D10" s="6"/>
      <c r="G10" s="8"/>
      <c r="H10" s="8"/>
    </row>
    <row r="11" spans="1:8" ht="23.25">
      <c r="A11" s="7" t="s">
        <v>17</v>
      </c>
      <c r="B11" s="5" t="s">
        <v>10</v>
      </c>
      <c r="C11" s="6">
        <v>17209.94</v>
      </c>
      <c r="D11" s="6"/>
      <c r="G11" s="8"/>
      <c r="H11" s="8"/>
    </row>
    <row r="12" spans="1:8" ht="23.25">
      <c r="A12" s="7" t="s">
        <v>18</v>
      </c>
      <c r="B12" s="5" t="s">
        <v>10</v>
      </c>
      <c r="C12" s="6">
        <v>39631.93</v>
      </c>
      <c r="D12" s="6"/>
      <c r="G12" s="8"/>
      <c r="H12" s="8"/>
    </row>
    <row r="13" spans="1:8" ht="23.25">
      <c r="A13" s="7" t="s">
        <v>19</v>
      </c>
      <c r="B13" s="5" t="s">
        <v>10</v>
      </c>
      <c r="C13" s="6">
        <v>15183.18</v>
      </c>
      <c r="D13" s="6"/>
      <c r="G13" s="8"/>
      <c r="H13" s="8"/>
    </row>
    <row r="14" spans="1:8" ht="23.25">
      <c r="A14" s="7" t="s">
        <v>20</v>
      </c>
      <c r="B14" s="5" t="s">
        <v>16</v>
      </c>
      <c r="C14" s="6">
        <v>4436874.04</v>
      </c>
      <c r="D14" s="6"/>
      <c r="E14" s="8"/>
      <c r="F14" s="8"/>
      <c r="G14" s="8"/>
      <c r="H14" s="8"/>
    </row>
    <row r="15" spans="1:8" ht="23.25">
      <c r="A15" s="7" t="s">
        <v>21</v>
      </c>
      <c r="B15" s="5" t="s">
        <v>22</v>
      </c>
      <c r="C15" s="6">
        <f>143446-18450+156480-28130+17352-96410-540+48186-98500-2800-15000-600-5670-8900-5640-3700-5500</f>
        <v>75624</v>
      </c>
      <c r="D15" s="6"/>
      <c r="G15" s="9"/>
      <c r="H15" s="8"/>
    </row>
    <row r="16" spans="1:8" ht="23.25">
      <c r="A16" s="7" t="s">
        <v>23</v>
      </c>
      <c r="B16" s="5">
        <v>704</v>
      </c>
      <c r="C16" s="6">
        <f>84740-75040-9700</f>
        <v>0</v>
      </c>
      <c r="D16" s="6"/>
      <c r="G16" s="9"/>
      <c r="H16" s="8"/>
    </row>
    <row r="17" spans="1:4" ht="23.25">
      <c r="A17" s="7" t="s">
        <v>24</v>
      </c>
      <c r="B17" s="10">
        <v>0</v>
      </c>
      <c r="C17" s="6">
        <f>42388.4+1887.7</f>
        <v>44276.1</v>
      </c>
      <c r="D17" s="6"/>
    </row>
    <row r="18" spans="1:4" ht="23.25">
      <c r="A18" s="7" t="s">
        <v>25</v>
      </c>
      <c r="B18" s="10">
        <v>0</v>
      </c>
      <c r="C18" s="6">
        <f>560000-20000-40000-10000-70000-240000</f>
        <v>180000</v>
      </c>
      <c r="D18" s="6"/>
    </row>
    <row r="19" spans="1:9" ht="23.25">
      <c r="A19" s="7" t="s">
        <v>26</v>
      </c>
      <c r="B19" s="11" t="s">
        <v>27</v>
      </c>
      <c r="C19" s="6">
        <f>1755700+178994+13110-500+178904</f>
        <v>2126208</v>
      </c>
      <c r="D19" s="6"/>
      <c r="E19" s="9"/>
      <c r="F19" s="9"/>
      <c r="G19" s="9"/>
      <c r="H19" s="12"/>
      <c r="I19" s="9"/>
    </row>
    <row r="20" spans="1:9" ht="23.25">
      <c r="A20" s="7" t="s">
        <v>28</v>
      </c>
      <c r="B20" s="5">
        <v>100</v>
      </c>
      <c r="C20" s="9">
        <f>2641665.59+382240+382240</f>
        <v>3406145.59</v>
      </c>
      <c r="D20" s="6"/>
      <c r="E20" s="9"/>
      <c r="F20" s="9"/>
      <c r="G20" s="9"/>
      <c r="H20" s="12"/>
      <c r="I20" s="9"/>
    </row>
    <row r="21" spans="1:9" ht="23.25">
      <c r="A21" s="7" t="s">
        <v>29</v>
      </c>
      <c r="B21" s="5">
        <v>120</v>
      </c>
      <c r="C21" s="9">
        <f>246810+35670+35670</f>
        <v>318150</v>
      </c>
      <c r="D21" s="6"/>
      <c r="E21" s="9"/>
      <c r="F21" s="9"/>
      <c r="G21" s="9"/>
      <c r="H21" s="12"/>
      <c r="I21" s="9"/>
    </row>
    <row r="22" spans="1:9" ht="23.25">
      <c r="A22" s="7" t="s">
        <v>30</v>
      </c>
      <c r="B22" s="5">
        <v>130</v>
      </c>
      <c r="C22" s="9">
        <f>871770+121490+117541.99-87402+3410+9700</f>
        <v>1036509.99</v>
      </c>
      <c r="D22" s="6"/>
      <c r="E22" s="9"/>
      <c r="F22" s="9"/>
      <c r="G22" s="9"/>
      <c r="H22" s="12"/>
      <c r="I22" s="9"/>
    </row>
    <row r="23" spans="1:9" ht="23.25">
      <c r="A23" s="7" t="s">
        <v>31</v>
      </c>
      <c r="B23" s="5">
        <v>200</v>
      </c>
      <c r="C23" s="9">
        <f>174928+31220+10670</f>
        <v>216818</v>
      </c>
      <c r="D23" s="6"/>
      <c r="E23" s="9"/>
      <c r="F23" s="9"/>
      <c r="G23" s="9"/>
      <c r="H23" s="12"/>
      <c r="I23" s="9"/>
    </row>
    <row r="24" spans="1:9" ht="23.25">
      <c r="A24" s="7" t="s">
        <v>32</v>
      </c>
      <c r="B24" s="5">
        <v>250</v>
      </c>
      <c r="C24" s="9">
        <f>1920196+640843+96410+47014+98500+2800+15000+600+5670+8900+5640+3700+5500</f>
        <v>2850773</v>
      </c>
      <c r="D24" s="6"/>
      <c r="E24" s="9"/>
      <c r="F24" s="9"/>
      <c r="G24" s="9"/>
      <c r="H24" s="12"/>
      <c r="I24" s="9"/>
    </row>
    <row r="25" spans="1:9" ht="23.25" hidden="1">
      <c r="A25" s="7" t="s">
        <v>33</v>
      </c>
      <c r="B25" s="5">
        <v>270</v>
      </c>
      <c r="C25" s="9"/>
      <c r="D25" s="6"/>
      <c r="E25" s="9"/>
      <c r="F25" s="9"/>
      <c r="G25" s="9"/>
      <c r="H25" s="12"/>
      <c r="I25" s="9"/>
    </row>
    <row r="26" spans="1:9" ht="23.25">
      <c r="A26" s="7" t="s">
        <v>33</v>
      </c>
      <c r="B26" s="5">
        <v>270</v>
      </c>
      <c r="C26" s="9">
        <f>735603.15+641447.2+22799</f>
        <v>1399849.35</v>
      </c>
      <c r="D26" s="6"/>
      <c r="E26" s="9"/>
      <c r="F26" s="9"/>
      <c r="G26" s="9"/>
      <c r="H26" s="12"/>
      <c r="I26" s="9"/>
    </row>
    <row r="27" spans="1:9" ht="23.25">
      <c r="A27" s="7" t="s">
        <v>34</v>
      </c>
      <c r="B27" s="5">
        <v>300</v>
      </c>
      <c r="C27" s="9">
        <f>166958.46+21606.61+16528.56</f>
        <v>205093.63</v>
      </c>
      <c r="D27" s="6"/>
      <c r="E27" s="9"/>
      <c r="F27" s="9"/>
      <c r="G27" s="9"/>
      <c r="H27" s="12"/>
      <c r="I27" s="9"/>
    </row>
    <row r="28" spans="1:9" ht="23.25">
      <c r="A28" s="7" t="s">
        <v>35</v>
      </c>
      <c r="B28" s="5">
        <v>400</v>
      </c>
      <c r="C28" s="9">
        <f>130000+670800+902200</f>
        <v>1703000</v>
      </c>
      <c r="D28" s="6"/>
      <c r="E28" s="9"/>
      <c r="F28" s="9"/>
      <c r="G28" s="9"/>
      <c r="H28" s="12"/>
      <c r="I28" s="9"/>
    </row>
    <row r="29" spans="1:9" ht="23.25">
      <c r="A29" s="7" t="s">
        <v>36</v>
      </c>
      <c r="B29" s="5">
        <v>450</v>
      </c>
      <c r="C29" s="9">
        <f>14700+44500</f>
        <v>59200</v>
      </c>
      <c r="D29" s="6"/>
      <c r="E29" s="9"/>
      <c r="F29" s="9"/>
      <c r="G29" s="9"/>
      <c r="H29" s="12"/>
      <c r="I29" s="9"/>
    </row>
    <row r="30" spans="1:9" ht="23.25">
      <c r="A30" s="7" t="s">
        <v>37</v>
      </c>
      <c r="B30" s="5">
        <v>500</v>
      </c>
      <c r="C30" s="9">
        <f>713000+1369000+3089100</f>
        <v>5171100</v>
      </c>
      <c r="D30" s="6"/>
      <c r="E30" s="9"/>
      <c r="F30" s="9"/>
      <c r="G30" s="9"/>
      <c r="H30" s="12"/>
      <c r="I30" s="9"/>
    </row>
    <row r="31" spans="1:8" ht="23.25">
      <c r="A31" s="13" t="s">
        <v>38</v>
      </c>
      <c r="B31" s="5"/>
      <c r="C31" s="6"/>
      <c r="D31" s="6">
        <v>92932.75</v>
      </c>
      <c r="G31" s="14"/>
      <c r="H31" s="9"/>
    </row>
    <row r="32" spans="1:7" ht="23.25">
      <c r="A32" s="13" t="s">
        <v>39</v>
      </c>
      <c r="B32" s="10">
        <v>600</v>
      </c>
      <c r="C32" s="6"/>
      <c r="D32" s="6">
        <v>575986</v>
      </c>
      <c r="G32" s="14"/>
    </row>
    <row r="33" spans="1:7" ht="23.25">
      <c r="A33" s="13" t="s">
        <v>40</v>
      </c>
      <c r="B33" s="5">
        <v>602</v>
      </c>
      <c r="C33" s="6"/>
      <c r="D33" s="6">
        <v>10000</v>
      </c>
      <c r="G33" s="14"/>
    </row>
    <row r="34" spans="1:8" ht="23.25">
      <c r="A34" s="7" t="s">
        <v>41</v>
      </c>
      <c r="B34" s="5" t="s">
        <v>42</v>
      </c>
      <c r="C34" s="6"/>
      <c r="D34" s="6">
        <f>10551023.28-675900-575000-1426500-2377143.03-161500-60</f>
        <v>5334920.25</v>
      </c>
      <c r="G34" s="14"/>
      <c r="H34" s="9"/>
    </row>
    <row r="35" spans="1:7" ht="23.25">
      <c r="A35" s="7" t="s">
        <v>43</v>
      </c>
      <c r="B35" s="5" t="s">
        <v>44</v>
      </c>
      <c r="C35" s="6"/>
      <c r="D35" s="6">
        <f>5310066.45+492815.62</f>
        <v>5802882.07</v>
      </c>
      <c r="G35" s="8"/>
    </row>
    <row r="36" spans="1:7" ht="23.25">
      <c r="A36" s="7" t="s">
        <v>45</v>
      </c>
      <c r="B36" s="5">
        <v>821</v>
      </c>
      <c r="C36" s="6"/>
      <c r="D36" s="6">
        <f>19099334.56+2040098.13+2425744.24+36728+1272118.65</f>
        <v>24874023.58</v>
      </c>
      <c r="G36" s="8"/>
    </row>
    <row r="37" spans="1:7" ht="23.25">
      <c r="A37" s="15" t="s">
        <v>46</v>
      </c>
      <c r="B37" s="16"/>
      <c r="C37" s="17">
        <f>SUM(C5:C36)</f>
        <v>41467590.59</v>
      </c>
      <c r="D37" s="17">
        <f>SUM(D31:D36)</f>
        <v>36690744.65</v>
      </c>
      <c r="F37" s="8"/>
      <c r="G37" s="8"/>
    </row>
    <row r="38" spans="1:7" ht="23.25">
      <c r="A38" s="18"/>
      <c r="B38" s="19"/>
      <c r="C38" s="12"/>
      <c r="D38" s="12"/>
      <c r="G38" s="8"/>
    </row>
    <row r="39" spans="1:7" ht="24" thickBot="1">
      <c r="A39" s="18"/>
      <c r="B39" s="19"/>
      <c r="C39" s="12"/>
      <c r="D39" s="12"/>
      <c r="G39" s="8"/>
    </row>
    <row r="40" spans="1:7" ht="24.75" thickBot="1" thickTop="1">
      <c r="A40" s="20" t="s">
        <v>3</v>
      </c>
      <c r="B40" s="21" t="s">
        <v>4</v>
      </c>
      <c r="C40" s="21" t="s">
        <v>5</v>
      </c>
      <c r="D40" s="21" t="s">
        <v>6</v>
      </c>
      <c r="G40" s="8"/>
    </row>
    <row r="41" spans="1:7" ht="24" thickTop="1">
      <c r="A41" s="22" t="s">
        <v>47</v>
      </c>
      <c r="B41" s="23"/>
      <c r="C41" s="24">
        <f>C37</f>
        <v>41467590.59</v>
      </c>
      <c r="D41" s="24">
        <f>D37</f>
        <v>36690744.65</v>
      </c>
      <c r="G41" s="8"/>
    </row>
    <row r="42" spans="1:7" ht="23.25">
      <c r="A42" s="7" t="s">
        <v>48</v>
      </c>
      <c r="B42" s="5" t="s">
        <v>49</v>
      </c>
      <c r="C42" s="6"/>
      <c r="D42" s="6">
        <v>3353214.72</v>
      </c>
      <c r="G42" s="8"/>
    </row>
    <row r="43" spans="1:7" ht="23.25">
      <c r="A43" s="7" t="s">
        <v>50</v>
      </c>
      <c r="B43" s="10"/>
      <c r="C43" s="6"/>
      <c r="D43" s="6">
        <f>1418845.84+21067.35+20161-40000+51+87+1149.93+2217.1+52</f>
        <v>1423631.2200000002</v>
      </c>
      <c r="G43" s="8"/>
    </row>
    <row r="44" spans="1:7" ht="23.25">
      <c r="A44" s="7"/>
      <c r="B44" s="10"/>
      <c r="C44" s="6"/>
      <c r="D44" s="6"/>
      <c r="G44" s="8"/>
    </row>
    <row r="45" spans="1:7" ht="23.25">
      <c r="A45" s="7"/>
      <c r="B45" s="10"/>
      <c r="C45" s="6"/>
      <c r="D45" s="6"/>
      <c r="E45" s="8"/>
      <c r="F45" s="8"/>
      <c r="G45" s="8"/>
    </row>
    <row r="46" spans="1:7" ht="24" thickBot="1">
      <c r="A46" s="25"/>
      <c r="B46" s="26"/>
      <c r="C46" s="27">
        <f>SUM(C41:C43)</f>
        <v>41467590.59</v>
      </c>
      <c r="D46" s="27">
        <f>SUM(D41:D45)</f>
        <v>41467590.589999996</v>
      </c>
      <c r="E46" s="8"/>
      <c r="F46" s="8"/>
      <c r="G46" s="8"/>
    </row>
    <row r="47" spans="1:7" ht="24" thickTop="1">
      <c r="A47" s="18"/>
      <c r="B47" s="28"/>
      <c r="C47" s="12"/>
      <c r="D47" s="12"/>
      <c r="E47" s="8"/>
      <c r="F47" s="8"/>
      <c r="G47" s="8"/>
    </row>
    <row r="48" spans="1:4" ht="23.25">
      <c r="A48" s="18"/>
      <c r="B48" s="28"/>
      <c r="C48" s="12"/>
      <c r="D48" s="12"/>
    </row>
    <row r="49" ht="23.25">
      <c r="A49" s="1" t="s">
        <v>51</v>
      </c>
    </row>
    <row r="52" ht="23.25">
      <c r="A52" s="1" t="s">
        <v>52</v>
      </c>
    </row>
    <row r="53" ht="23.25">
      <c r="A53" s="1" t="s">
        <v>53</v>
      </c>
    </row>
  </sheetData>
  <sheetProtection/>
  <mergeCells count="3">
    <mergeCell ref="A1:D1"/>
    <mergeCell ref="A2:D2"/>
    <mergeCell ref="A3:D3"/>
  </mergeCells>
  <printOptions/>
  <pageMargins left="0.6692913385826772" right="0.1968503937007874" top="0.51" bottom="0.1968503937007874" header="0.18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17.28125" style="29" customWidth="1"/>
    <col min="2" max="2" width="17.140625" style="29" customWidth="1"/>
    <col min="3" max="3" width="42.28125" style="29" customWidth="1"/>
    <col min="4" max="4" width="7.421875" style="29" customWidth="1"/>
    <col min="5" max="5" width="18.8515625" style="29" customWidth="1"/>
    <col min="6" max="7" width="13.8515625" style="29" bestFit="1" customWidth="1"/>
    <col min="8" max="9" width="11.28125" style="29" bestFit="1" customWidth="1"/>
    <col min="10" max="10" width="10.28125" style="29" bestFit="1" customWidth="1"/>
    <col min="11" max="16384" width="9.140625" style="29" customWidth="1"/>
  </cols>
  <sheetData>
    <row r="1" spans="1:5" ht="23.25">
      <c r="A1" s="107" t="s">
        <v>54</v>
      </c>
      <c r="B1" s="108"/>
      <c r="C1" s="108"/>
      <c r="D1" s="107" t="s">
        <v>55</v>
      </c>
      <c r="E1" s="107"/>
    </row>
    <row r="2" ht="23.25">
      <c r="A2" s="30" t="s">
        <v>56</v>
      </c>
    </row>
    <row r="3" spans="1:6" ht="24.75" customHeight="1">
      <c r="A3" s="109" t="s">
        <v>57</v>
      </c>
      <c r="B3" s="110"/>
      <c r="C3" s="110"/>
      <c r="D3" s="110"/>
      <c r="E3" s="110"/>
      <c r="F3" s="31"/>
    </row>
    <row r="4" spans="4:6" ht="24" customHeight="1" thickBot="1">
      <c r="D4" s="111" t="s">
        <v>58</v>
      </c>
      <c r="E4" s="111"/>
      <c r="F4" s="32"/>
    </row>
    <row r="5" spans="1:5" ht="24" customHeight="1" thickTop="1">
      <c r="A5" s="112" t="s">
        <v>59</v>
      </c>
      <c r="B5" s="113"/>
      <c r="C5" s="114" t="s">
        <v>3</v>
      </c>
      <c r="D5" s="117" t="s">
        <v>4</v>
      </c>
      <c r="E5" s="33" t="s">
        <v>60</v>
      </c>
    </row>
    <row r="6" spans="1:5" ht="24" customHeight="1">
      <c r="A6" s="34" t="s">
        <v>61</v>
      </c>
      <c r="B6" s="34" t="s">
        <v>62</v>
      </c>
      <c r="C6" s="115"/>
      <c r="D6" s="118"/>
      <c r="E6" s="35" t="s">
        <v>62</v>
      </c>
    </row>
    <row r="7" spans="1:5" ht="24" customHeight="1" thickBot="1">
      <c r="A7" s="36" t="s">
        <v>63</v>
      </c>
      <c r="B7" s="36" t="s">
        <v>63</v>
      </c>
      <c r="C7" s="116"/>
      <c r="D7" s="119"/>
      <c r="E7" s="37" t="s">
        <v>63</v>
      </c>
    </row>
    <row r="8" spans="1:5" ht="24" thickTop="1">
      <c r="A8" s="38"/>
      <c r="B8" s="39">
        <v>24534789.46</v>
      </c>
      <c r="C8" s="40" t="s">
        <v>64</v>
      </c>
      <c r="D8" s="40"/>
      <c r="E8" s="39">
        <v>26618865.17</v>
      </c>
    </row>
    <row r="9" spans="1:5" ht="23.25">
      <c r="A9" s="41"/>
      <c r="B9" s="41"/>
      <c r="C9" s="42" t="s">
        <v>127</v>
      </c>
      <c r="D9" s="43"/>
      <c r="E9" s="41"/>
    </row>
    <row r="10" spans="1:7" ht="23.25">
      <c r="A10" s="41">
        <v>2105000</v>
      </c>
      <c r="B10" s="41">
        <f>1160570.8+659937.34+203531.65</f>
        <v>2024039.79</v>
      </c>
      <c r="C10" s="43" t="s">
        <v>65</v>
      </c>
      <c r="D10" s="44" t="s">
        <v>66</v>
      </c>
      <c r="E10" s="41">
        <v>203531.65</v>
      </c>
      <c r="G10" s="45"/>
    </row>
    <row r="11" spans="1:7" ht="23.25">
      <c r="A11" s="41">
        <v>399000</v>
      </c>
      <c r="B11" s="41">
        <f>223114+76576+63171</f>
        <v>362861</v>
      </c>
      <c r="C11" s="43" t="s">
        <v>67</v>
      </c>
      <c r="D11" s="44" t="s">
        <v>68</v>
      </c>
      <c r="E11" s="41">
        <v>63171</v>
      </c>
      <c r="G11" s="45"/>
    </row>
    <row r="12" spans="1:7" ht="23.25">
      <c r="A12" s="41">
        <v>105000</v>
      </c>
      <c r="B12" s="41">
        <f>52332.6+36000+68834.78</f>
        <v>157167.38</v>
      </c>
      <c r="C12" s="43" t="s">
        <v>69</v>
      </c>
      <c r="D12" s="44" t="s">
        <v>70</v>
      </c>
      <c r="E12" s="41">
        <v>68834.78</v>
      </c>
      <c r="G12" s="45"/>
    </row>
    <row r="13" spans="1:7" ht="23.25">
      <c r="A13" s="41">
        <v>180000</v>
      </c>
      <c r="B13" s="41">
        <f>67040+17160+8260</f>
        <v>92460</v>
      </c>
      <c r="C13" s="43" t="s">
        <v>71</v>
      </c>
      <c r="D13" s="44" t="s">
        <v>72</v>
      </c>
      <c r="E13" s="41">
        <v>8260</v>
      </c>
      <c r="G13" s="45"/>
    </row>
    <row r="14" spans="1:7" ht="23.25">
      <c r="A14" s="41">
        <v>255000</v>
      </c>
      <c r="B14" s="41">
        <f>178775.4+27900+12200</f>
        <v>218875.4</v>
      </c>
      <c r="C14" s="43" t="s">
        <v>73</v>
      </c>
      <c r="D14" s="44" t="s">
        <v>74</v>
      </c>
      <c r="E14" s="41">
        <v>12200</v>
      </c>
      <c r="G14" s="45"/>
    </row>
    <row r="15" spans="1:7" ht="23.25">
      <c r="A15" s="41">
        <v>10000</v>
      </c>
      <c r="B15" s="41">
        <v>0</v>
      </c>
      <c r="C15" s="43" t="s">
        <v>75</v>
      </c>
      <c r="D15" s="44" t="s">
        <v>76</v>
      </c>
      <c r="E15" s="41">
        <v>0</v>
      </c>
      <c r="G15" s="45"/>
    </row>
    <row r="16" spans="1:7" ht="23.25">
      <c r="A16" s="41">
        <v>17946000</v>
      </c>
      <c r="B16" s="41">
        <f>10217998.89+1644898.9+916121.22</f>
        <v>12779019.010000002</v>
      </c>
      <c r="C16" s="43" t="s">
        <v>77</v>
      </c>
      <c r="D16" s="44" t="s">
        <v>78</v>
      </c>
      <c r="E16" s="41">
        <v>916121.22</v>
      </c>
      <c r="G16" s="45"/>
    </row>
    <row r="17" spans="1:7" ht="23.25">
      <c r="A17" s="41">
        <v>12500000</v>
      </c>
      <c r="B17" s="41">
        <v>9239601</v>
      </c>
      <c r="C17" s="43" t="s">
        <v>79</v>
      </c>
      <c r="D17" s="44" t="s">
        <v>80</v>
      </c>
      <c r="E17" s="41">
        <v>0</v>
      </c>
      <c r="G17" s="45"/>
    </row>
    <row r="18" spans="1:7" ht="24" thickBot="1">
      <c r="A18" s="46">
        <f>SUM(A10:A17)</f>
        <v>33500000</v>
      </c>
      <c r="B18" s="46">
        <f>SUM(B10:B17)</f>
        <v>24874023.580000002</v>
      </c>
      <c r="C18" s="43"/>
      <c r="D18" s="44"/>
      <c r="E18" s="46">
        <f>SUM(E10:E17)</f>
        <v>1272118.65</v>
      </c>
      <c r="G18" s="45"/>
    </row>
    <row r="19" spans="1:5" ht="24" hidden="1" thickTop="1">
      <c r="A19" s="45"/>
      <c r="B19" s="41">
        <v>0</v>
      </c>
      <c r="C19" s="43" t="s">
        <v>81</v>
      </c>
      <c r="D19" s="44" t="s">
        <v>82</v>
      </c>
      <c r="E19" s="41">
        <v>0</v>
      </c>
    </row>
    <row r="20" spans="1:5" ht="23.25" hidden="1">
      <c r="A20" s="45"/>
      <c r="B20" s="41">
        <v>0</v>
      </c>
      <c r="C20" s="43" t="s">
        <v>83</v>
      </c>
      <c r="D20" s="44"/>
      <c r="E20" s="41">
        <v>0</v>
      </c>
    </row>
    <row r="21" spans="1:5" ht="23.25" hidden="1">
      <c r="A21" s="45"/>
      <c r="B21" s="41">
        <v>0</v>
      </c>
      <c r="C21" s="43" t="s">
        <v>84</v>
      </c>
      <c r="D21" s="44"/>
      <c r="E21" s="41">
        <v>0</v>
      </c>
    </row>
    <row r="22" spans="1:5" ht="24" thickTop="1">
      <c r="A22" s="45"/>
      <c r="B22" s="41">
        <f>3807000+2793000</f>
        <v>6600000</v>
      </c>
      <c r="C22" s="43" t="s">
        <v>85</v>
      </c>
      <c r="D22" s="44"/>
      <c r="E22" s="41">
        <v>0</v>
      </c>
    </row>
    <row r="23" spans="1:5" ht="23.25">
      <c r="A23" s="45"/>
      <c r="B23" s="41">
        <f>339000+26000+336000</f>
        <v>701000</v>
      </c>
      <c r="C23" s="43" t="s">
        <v>86</v>
      </c>
      <c r="D23" s="44"/>
      <c r="E23" s="41">
        <v>0</v>
      </c>
    </row>
    <row r="24" spans="1:5" ht="23.25">
      <c r="A24" s="45"/>
      <c r="B24" s="41">
        <f>262206+87402+87402+87402+157584+78792</f>
        <v>760788</v>
      </c>
      <c r="C24" s="43" t="s">
        <v>87</v>
      </c>
      <c r="D24" s="44"/>
      <c r="E24" s="41">
        <v>78792</v>
      </c>
    </row>
    <row r="25" spans="1:5" ht="23.25">
      <c r="A25" s="45"/>
      <c r="B25" s="41">
        <v>10000</v>
      </c>
      <c r="C25" s="43" t="s">
        <v>88</v>
      </c>
      <c r="D25" s="44"/>
      <c r="E25" s="41">
        <v>0</v>
      </c>
    </row>
    <row r="26" spans="1:5" ht="23.25">
      <c r="A26" s="45"/>
      <c r="B26" s="41">
        <v>625246.96</v>
      </c>
      <c r="C26" s="43" t="s">
        <v>89</v>
      </c>
      <c r="D26" s="44"/>
      <c r="E26" s="41">
        <v>0</v>
      </c>
    </row>
    <row r="27" spans="1:5" ht="23.25">
      <c r="A27" s="45"/>
      <c r="B27" s="41">
        <v>61800</v>
      </c>
      <c r="C27" s="43" t="s">
        <v>90</v>
      </c>
      <c r="D27" s="44"/>
      <c r="E27" s="41">
        <v>61800</v>
      </c>
    </row>
    <row r="28" spans="1:5" ht="23.25">
      <c r="A28" s="45"/>
      <c r="B28" s="41">
        <v>45000</v>
      </c>
      <c r="C28" s="43" t="s">
        <v>91</v>
      </c>
      <c r="D28" s="44"/>
      <c r="E28" s="41">
        <v>45000</v>
      </c>
    </row>
    <row r="29" spans="1:5" ht="23.25">
      <c r="A29" s="47"/>
      <c r="B29" s="41">
        <f>418220.59+49859.27</f>
        <v>468079.86000000004</v>
      </c>
      <c r="C29" s="43" t="s">
        <v>92</v>
      </c>
      <c r="D29" s="44" t="s">
        <v>49</v>
      </c>
      <c r="E29" s="41">
        <v>49859.27</v>
      </c>
    </row>
    <row r="30" spans="1:5" ht="23.25" hidden="1">
      <c r="A30" s="47"/>
      <c r="B30" s="41">
        <v>0</v>
      </c>
      <c r="C30" s="43" t="s">
        <v>93</v>
      </c>
      <c r="D30" s="44" t="s">
        <v>94</v>
      </c>
      <c r="E30" s="41">
        <v>0</v>
      </c>
    </row>
    <row r="31" spans="1:5" ht="23.25">
      <c r="A31" s="47"/>
      <c r="B31" s="41">
        <f>2330+2540+18450+540</f>
        <v>23860</v>
      </c>
      <c r="C31" s="43" t="s">
        <v>21</v>
      </c>
      <c r="D31" s="44" t="s">
        <v>22</v>
      </c>
      <c r="E31" s="41">
        <v>540</v>
      </c>
    </row>
    <row r="32" spans="1:5" ht="23.25">
      <c r="A32" s="47"/>
      <c r="B32" s="41">
        <f>80000+240000</f>
        <v>320000</v>
      </c>
      <c r="C32" s="43" t="s">
        <v>25</v>
      </c>
      <c r="D32" s="44"/>
      <c r="E32" s="41">
        <v>240000</v>
      </c>
    </row>
    <row r="33" spans="1:5" ht="23.25">
      <c r="A33" s="47"/>
      <c r="B33" s="41">
        <v>200</v>
      </c>
      <c r="C33" s="43" t="s">
        <v>95</v>
      </c>
      <c r="D33" s="44" t="s">
        <v>42</v>
      </c>
      <c r="E33" s="41">
        <v>0</v>
      </c>
    </row>
    <row r="34" spans="1:5" ht="23.25">
      <c r="A34" s="47"/>
      <c r="B34" s="41">
        <f>87+1149.93+2269.1</f>
        <v>3506.0299999999997</v>
      </c>
      <c r="C34" s="43" t="s">
        <v>96</v>
      </c>
      <c r="D34" s="44"/>
      <c r="E34" s="41">
        <f>2217.1+52</f>
        <v>2269.1</v>
      </c>
    </row>
    <row r="35" spans="1:5" ht="23.25">
      <c r="A35" s="47"/>
      <c r="B35" s="41">
        <f>2000+2000+500+4500+2000+2000</f>
        <v>13000</v>
      </c>
      <c r="C35" s="43" t="s">
        <v>97</v>
      </c>
      <c r="D35" s="44"/>
      <c r="E35" s="41">
        <v>2000</v>
      </c>
    </row>
    <row r="36" spans="1:5" ht="23.25" hidden="1">
      <c r="A36" s="47"/>
      <c r="B36" s="41">
        <v>0</v>
      </c>
      <c r="C36" s="43" t="s">
        <v>98</v>
      </c>
      <c r="D36" s="44"/>
      <c r="E36" s="41">
        <v>0</v>
      </c>
    </row>
    <row r="37" spans="1:5" ht="23.25" hidden="1">
      <c r="A37" s="47"/>
      <c r="B37" s="41"/>
      <c r="C37" s="43"/>
      <c r="D37" s="44"/>
      <c r="E37" s="41"/>
    </row>
    <row r="38" spans="1:5" ht="23.25" hidden="1">
      <c r="A38" s="47"/>
      <c r="B38" s="41"/>
      <c r="C38" s="43"/>
      <c r="D38" s="48"/>
      <c r="E38" s="41"/>
    </row>
    <row r="39" spans="1:5" ht="23.25">
      <c r="A39" s="47"/>
      <c r="B39" s="49">
        <f>SUM(B19:B38)</f>
        <v>9632480.85</v>
      </c>
      <c r="C39" s="50"/>
      <c r="D39" s="51"/>
      <c r="E39" s="49">
        <f>SUM(E19:E38)</f>
        <v>480260.37</v>
      </c>
    </row>
    <row r="40" spans="1:5" ht="24" thickBot="1">
      <c r="A40" s="47"/>
      <c r="B40" s="46">
        <f>B18+B39</f>
        <v>34506504.43</v>
      </c>
      <c r="C40" s="52" t="s">
        <v>99</v>
      </c>
      <c r="D40" s="53"/>
      <c r="E40" s="46">
        <f>E18+E39</f>
        <v>1752379.02</v>
      </c>
    </row>
    <row r="41" spans="1:5" ht="24" thickTop="1">
      <c r="A41" s="47"/>
      <c r="B41" s="45"/>
      <c r="C41" s="54"/>
      <c r="D41" s="53"/>
      <c r="E41" s="45"/>
    </row>
    <row r="42" spans="1:5" ht="23.25">
      <c r="A42" s="47"/>
      <c r="B42" s="45"/>
      <c r="C42" s="54"/>
      <c r="D42" s="53"/>
      <c r="E42" s="45"/>
    </row>
    <row r="43" spans="1:5" ht="23.25">
      <c r="A43" s="47"/>
      <c r="B43" s="45"/>
      <c r="C43" s="54"/>
      <c r="D43" s="53"/>
      <c r="E43" s="45"/>
    </row>
    <row r="44" spans="1:5" ht="24" thickBot="1">
      <c r="A44" s="47"/>
      <c r="B44" s="45"/>
      <c r="C44" s="54"/>
      <c r="D44" s="53"/>
      <c r="E44" s="45"/>
    </row>
    <row r="45" spans="1:5" ht="24" customHeight="1" thickTop="1">
      <c r="A45" s="112" t="s">
        <v>59</v>
      </c>
      <c r="B45" s="113"/>
      <c r="C45" s="114" t="s">
        <v>3</v>
      </c>
      <c r="D45" s="120" t="s">
        <v>4</v>
      </c>
      <c r="E45" s="55" t="s">
        <v>60</v>
      </c>
    </row>
    <row r="46" spans="1:5" ht="24" customHeight="1">
      <c r="A46" s="34" t="s">
        <v>61</v>
      </c>
      <c r="B46" s="34" t="s">
        <v>62</v>
      </c>
      <c r="C46" s="115"/>
      <c r="D46" s="121"/>
      <c r="E46" s="56" t="s">
        <v>62</v>
      </c>
    </row>
    <row r="47" spans="1:5" ht="24" customHeight="1" thickBot="1">
      <c r="A47" s="36" t="s">
        <v>63</v>
      </c>
      <c r="B47" s="36" t="s">
        <v>63</v>
      </c>
      <c r="C47" s="116"/>
      <c r="D47" s="122"/>
      <c r="E47" s="57" t="s">
        <v>63</v>
      </c>
    </row>
    <row r="48" spans="1:7" ht="24" thickTop="1">
      <c r="A48" s="38"/>
      <c r="B48" s="38"/>
      <c r="C48" s="58" t="s">
        <v>100</v>
      </c>
      <c r="D48" s="59"/>
      <c r="E48" s="38"/>
      <c r="G48" s="45"/>
    </row>
    <row r="49" spans="1:7" ht="23.25">
      <c r="A49" s="41">
        <v>3163620</v>
      </c>
      <c r="B49" s="41">
        <f>1722700+192104+178904</f>
        <v>2093708</v>
      </c>
      <c r="C49" s="43" t="s">
        <v>26</v>
      </c>
      <c r="D49" s="44" t="s">
        <v>27</v>
      </c>
      <c r="E49" s="41">
        <v>178904</v>
      </c>
      <c r="G49" s="45"/>
    </row>
    <row r="50" spans="1:7" ht="23.25">
      <c r="A50" s="41">
        <v>5357640</v>
      </c>
      <c r="B50" s="41">
        <f>2641665.59+382240+382240</f>
        <v>3406145.59</v>
      </c>
      <c r="C50" s="43" t="s">
        <v>28</v>
      </c>
      <c r="D50" s="44" t="s">
        <v>101</v>
      </c>
      <c r="E50" s="41">
        <v>382240</v>
      </c>
      <c r="G50" s="45"/>
    </row>
    <row r="51" spans="1:7" ht="23.25">
      <c r="A51" s="41">
        <v>443520</v>
      </c>
      <c r="B51" s="41">
        <f>246810+35670+35670</f>
        <v>318150</v>
      </c>
      <c r="C51" s="43" t="s">
        <v>29</v>
      </c>
      <c r="D51" s="44" t="s">
        <v>102</v>
      </c>
      <c r="E51" s="41">
        <v>35670</v>
      </c>
      <c r="G51" s="45"/>
    </row>
    <row r="52" spans="1:7" ht="23.25">
      <c r="A52" s="41">
        <v>2371160</v>
      </c>
      <c r="B52" s="41">
        <f>871770+121490+117541.99</f>
        <v>1110801.99</v>
      </c>
      <c r="C52" s="43" t="s">
        <v>30</v>
      </c>
      <c r="D52" s="44" t="s">
        <v>103</v>
      </c>
      <c r="E52" s="41">
        <v>117541.99</v>
      </c>
      <c r="G52" s="45"/>
    </row>
    <row r="53" spans="1:7" ht="23.25">
      <c r="A53" s="41">
        <v>1791400</v>
      </c>
      <c r="B53" s="41">
        <f>174928+31220+10670</f>
        <v>216818</v>
      </c>
      <c r="C53" s="43" t="s">
        <v>31</v>
      </c>
      <c r="D53" s="44" t="s">
        <v>104</v>
      </c>
      <c r="E53" s="41">
        <v>10670</v>
      </c>
      <c r="G53" s="45"/>
    </row>
    <row r="54" spans="1:7" ht="23.25">
      <c r="A54" s="41">
        <v>5423800</v>
      </c>
      <c r="B54" s="41">
        <f>1653130+640843+47014</f>
        <v>2340987</v>
      </c>
      <c r="C54" s="43" t="s">
        <v>32</v>
      </c>
      <c r="D54" s="44" t="s">
        <v>105</v>
      </c>
      <c r="E54" s="41">
        <v>47014</v>
      </c>
      <c r="G54" s="45"/>
    </row>
    <row r="55" spans="1:7" ht="23.25">
      <c r="A55" s="41">
        <v>3360460</v>
      </c>
      <c r="B55" s="41">
        <f>735603.15+641447.2+22799</f>
        <v>1399849.35</v>
      </c>
      <c r="C55" s="43" t="s">
        <v>33</v>
      </c>
      <c r="D55" s="44" t="s">
        <v>106</v>
      </c>
      <c r="E55" s="41">
        <v>22799</v>
      </c>
      <c r="G55" s="45"/>
    </row>
    <row r="56" spans="1:7" ht="23.25">
      <c r="A56" s="41">
        <v>736000</v>
      </c>
      <c r="B56" s="41">
        <f>166958.46+21606.61+16528.56</f>
        <v>205093.63</v>
      </c>
      <c r="C56" s="43" t="s">
        <v>34</v>
      </c>
      <c r="D56" s="44" t="s">
        <v>107</v>
      </c>
      <c r="E56" s="41">
        <v>16528.56</v>
      </c>
      <c r="G56" s="45"/>
    </row>
    <row r="57" spans="1:7" ht="23.25">
      <c r="A57" s="41">
        <v>2073000</v>
      </c>
      <c r="B57" s="41">
        <f>800800+902200</f>
        <v>1703000</v>
      </c>
      <c r="C57" s="43" t="s">
        <v>35</v>
      </c>
      <c r="D57" s="44" t="s">
        <v>108</v>
      </c>
      <c r="E57" s="41">
        <v>902200</v>
      </c>
      <c r="G57" s="45"/>
    </row>
    <row r="58" spans="1:7" ht="23.25">
      <c r="A58" s="41">
        <v>633000</v>
      </c>
      <c r="B58" s="41">
        <f>14700+44500</f>
        <v>59200</v>
      </c>
      <c r="C58" s="43" t="s">
        <v>36</v>
      </c>
      <c r="D58" s="44" t="s">
        <v>109</v>
      </c>
      <c r="E58" s="41">
        <v>0</v>
      </c>
      <c r="G58" s="45"/>
    </row>
    <row r="59" spans="1:7" ht="23.25">
      <c r="A59" s="41">
        <v>8146400</v>
      </c>
      <c r="B59" s="41">
        <f>713000+1369000+3089100</f>
        <v>5171100</v>
      </c>
      <c r="C59" s="43" t="s">
        <v>37</v>
      </c>
      <c r="D59" s="44" t="s">
        <v>110</v>
      </c>
      <c r="E59" s="41">
        <v>3089100</v>
      </c>
      <c r="G59" s="60"/>
    </row>
    <row r="60" spans="1:7" ht="24" thickBot="1">
      <c r="A60" s="46">
        <f>SUM(A49:A59)</f>
        <v>33500000</v>
      </c>
      <c r="B60" s="46">
        <f>SUM(B49:B59)</f>
        <v>18024853.560000002</v>
      </c>
      <c r="C60" s="43"/>
      <c r="D60" s="44"/>
      <c r="E60" s="46">
        <f>SUM(E49:E59)</f>
        <v>4802667.55</v>
      </c>
      <c r="G60" s="60"/>
    </row>
    <row r="61" spans="1:7" ht="24" thickTop="1">
      <c r="A61" s="45"/>
      <c r="B61" s="41">
        <f>3775000+534000+531000</f>
        <v>4840000</v>
      </c>
      <c r="C61" s="43" t="s">
        <v>85</v>
      </c>
      <c r="D61" s="44" t="s">
        <v>111</v>
      </c>
      <c r="E61" s="41">
        <v>531000</v>
      </c>
      <c r="G61" s="60"/>
    </row>
    <row r="62" spans="1:7" ht="23.25">
      <c r="A62" s="45"/>
      <c r="B62" s="41">
        <f>201000+24500+24500</f>
        <v>250000</v>
      </c>
      <c r="C62" s="43" t="s">
        <v>86</v>
      </c>
      <c r="D62" s="44" t="s">
        <v>111</v>
      </c>
      <c r="E62" s="41">
        <v>24500</v>
      </c>
      <c r="G62" s="60"/>
    </row>
    <row r="63" spans="1:7" ht="23.25">
      <c r="A63" s="45"/>
      <c r="B63" s="41">
        <f>440010+79202+78792</f>
        <v>598004</v>
      </c>
      <c r="C63" s="43" t="s">
        <v>87</v>
      </c>
      <c r="D63" s="44"/>
      <c r="E63" s="41">
        <v>78792</v>
      </c>
      <c r="G63" s="60"/>
    </row>
    <row r="64" spans="1:5" ht="23.25">
      <c r="A64" s="45"/>
      <c r="B64" s="41">
        <v>625246.96</v>
      </c>
      <c r="C64" s="43" t="s">
        <v>89</v>
      </c>
      <c r="D64" s="44"/>
      <c r="E64" s="41">
        <v>0</v>
      </c>
    </row>
    <row r="65" spans="1:7" ht="23.25">
      <c r="A65" s="47"/>
      <c r="B65" s="41">
        <v>4551159.2</v>
      </c>
      <c r="C65" s="43" t="s">
        <v>112</v>
      </c>
      <c r="D65" s="44" t="s">
        <v>113</v>
      </c>
      <c r="E65" s="41">
        <v>0</v>
      </c>
      <c r="G65" s="60"/>
    </row>
    <row r="66" spans="1:7" ht="23.25">
      <c r="A66" s="47"/>
      <c r="B66" s="41">
        <f>2828800+2377143.03+161500</f>
        <v>5367443.029999999</v>
      </c>
      <c r="C66" s="43" t="s">
        <v>114</v>
      </c>
      <c r="D66" s="44" t="s">
        <v>42</v>
      </c>
      <c r="E66" s="41">
        <v>161500</v>
      </c>
      <c r="G66" s="45"/>
    </row>
    <row r="67" spans="1:7" ht="23.25">
      <c r="A67" s="47"/>
      <c r="B67" s="41">
        <v>84740</v>
      </c>
      <c r="C67" s="43" t="s">
        <v>23</v>
      </c>
      <c r="D67" s="44" t="s">
        <v>115</v>
      </c>
      <c r="E67" s="41">
        <v>0</v>
      </c>
      <c r="G67" s="45"/>
    </row>
    <row r="68" spans="1:7" ht="23.25">
      <c r="A68" s="47"/>
      <c r="B68" s="41">
        <f>312161.69+27749.56+37178.14</f>
        <v>377089.39</v>
      </c>
      <c r="C68" s="43" t="s">
        <v>116</v>
      </c>
      <c r="D68" s="44" t="s">
        <v>49</v>
      </c>
      <c r="E68" s="41">
        <v>37178.14</v>
      </c>
      <c r="G68" s="60"/>
    </row>
    <row r="69" spans="1:7" ht="23.25">
      <c r="A69" s="47"/>
      <c r="B69" s="41">
        <v>577.57</v>
      </c>
      <c r="C69" s="43" t="s">
        <v>93</v>
      </c>
      <c r="D69" s="44" t="s">
        <v>94</v>
      </c>
      <c r="E69" s="41">
        <v>577.57</v>
      </c>
      <c r="G69" s="60"/>
    </row>
    <row r="70" spans="1:7" ht="23.25">
      <c r="A70" s="47"/>
      <c r="B70" s="41">
        <v>12000</v>
      </c>
      <c r="C70" s="43" t="s">
        <v>117</v>
      </c>
      <c r="D70" s="44" t="s">
        <v>94</v>
      </c>
      <c r="E70" s="41">
        <v>12000</v>
      </c>
      <c r="G70" s="60"/>
    </row>
    <row r="71" spans="1:7" ht="23.25">
      <c r="A71" s="47"/>
      <c r="B71" s="41">
        <f>576732+17352+48186</f>
        <v>642270</v>
      </c>
      <c r="C71" s="43" t="s">
        <v>21</v>
      </c>
      <c r="D71" s="44" t="s">
        <v>22</v>
      </c>
      <c r="E71" s="41">
        <v>48186</v>
      </c>
      <c r="G71" s="60"/>
    </row>
    <row r="72" spans="1:7" ht="23.25" hidden="1">
      <c r="A72" s="47"/>
      <c r="B72" s="41">
        <v>0</v>
      </c>
      <c r="C72" s="43" t="s">
        <v>118</v>
      </c>
      <c r="D72" s="44"/>
      <c r="E72" s="41">
        <v>0</v>
      </c>
      <c r="G72" s="60"/>
    </row>
    <row r="73" spans="1:7" ht="23.25" hidden="1">
      <c r="A73" s="47"/>
      <c r="B73" s="41">
        <v>0</v>
      </c>
      <c r="C73" s="43" t="s">
        <v>119</v>
      </c>
      <c r="D73" s="44"/>
      <c r="E73" s="41">
        <v>0</v>
      </c>
      <c r="G73" s="60"/>
    </row>
    <row r="74" spans="1:7" ht="23.25" hidden="1">
      <c r="A74" s="47"/>
      <c r="B74" s="41">
        <v>0</v>
      </c>
      <c r="C74" s="50" t="s">
        <v>84</v>
      </c>
      <c r="D74" s="44"/>
      <c r="E74" s="41">
        <v>0</v>
      </c>
      <c r="G74" s="60"/>
    </row>
    <row r="75" spans="1:7" ht="23.25">
      <c r="A75" s="47"/>
      <c r="B75" s="41">
        <v>993067.25</v>
      </c>
      <c r="C75" s="50" t="s">
        <v>118</v>
      </c>
      <c r="D75" s="44"/>
      <c r="E75" s="41">
        <v>0</v>
      </c>
      <c r="G75" s="60"/>
    </row>
    <row r="76" spans="1:7" ht="23.25" hidden="1">
      <c r="A76" s="47"/>
      <c r="B76" s="41"/>
      <c r="C76" s="50"/>
      <c r="D76" s="48"/>
      <c r="E76" s="41">
        <v>0</v>
      </c>
      <c r="G76" s="60"/>
    </row>
    <row r="77" spans="1:7" ht="23.25">
      <c r="A77" s="47"/>
      <c r="B77" s="49">
        <f>SUM(B61:B75)</f>
        <v>18341597.4</v>
      </c>
      <c r="C77" s="50"/>
      <c r="D77" s="51"/>
      <c r="E77" s="49">
        <f>SUM(E61:E76)</f>
        <v>893733.71</v>
      </c>
      <c r="G77" s="60"/>
    </row>
    <row r="78" spans="1:7" ht="23.25">
      <c r="A78" s="47"/>
      <c r="B78" s="61">
        <f>B60+B77</f>
        <v>36366450.96</v>
      </c>
      <c r="C78" s="52" t="s">
        <v>120</v>
      </c>
      <c r="D78" s="60"/>
      <c r="E78" s="61">
        <f>E60+E77</f>
        <v>5696401.26</v>
      </c>
      <c r="G78" s="60"/>
    </row>
    <row r="79" spans="1:5" ht="23.25">
      <c r="A79" s="47"/>
      <c r="B79" s="41"/>
      <c r="C79" s="62" t="s">
        <v>121</v>
      </c>
      <c r="D79" s="60"/>
      <c r="E79" s="41"/>
    </row>
    <row r="80" spans="1:7" ht="23.25">
      <c r="A80" s="47"/>
      <c r="B80" s="63">
        <f>B40-B78</f>
        <v>-1859946.5300000012</v>
      </c>
      <c r="C80" s="64" t="s">
        <v>122</v>
      </c>
      <c r="D80" s="60"/>
      <c r="E80" s="41">
        <f>E40-E78</f>
        <v>-3944022.2399999998</v>
      </c>
      <c r="G80" s="47"/>
    </row>
    <row r="81" spans="1:9" ht="23.25">
      <c r="A81" s="47"/>
      <c r="B81" s="41"/>
      <c r="C81" s="62" t="s">
        <v>123</v>
      </c>
      <c r="D81" s="60"/>
      <c r="E81" s="41"/>
      <c r="G81" s="47"/>
      <c r="I81" s="47"/>
    </row>
    <row r="82" spans="1:10" ht="24" thickBot="1">
      <c r="A82" s="47"/>
      <c r="B82" s="46">
        <f>B8+B80</f>
        <v>22674842.93</v>
      </c>
      <c r="C82" s="52" t="s">
        <v>124</v>
      </c>
      <c r="D82" s="60"/>
      <c r="E82" s="46">
        <f>E8+E80</f>
        <v>22674842.930000003</v>
      </c>
      <c r="F82" s="65"/>
      <c r="G82" s="47"/>
      <c r="H82" s="47"/>
      <c r="J82" s="47">
        <f>E82-B82</f>
        <v>0</v>
      </c>
    </row>
    <row r="83" spans="1:10" ht="24" thickTop="1">
      <c r="A83" s="47"/>
      <c r="B83" s="45"/>
      <c r="C83" s="54"/>
      <c r="D83" s="60"/>
      <c r="E83" s="45"/>
      <c r="F83" s="65"/>
      <c r="H83" s="47"/>
      <c r="J83" s="47"/>
    </row>
    <row r="84" ht="23.25">
      <c r="A84" s="29" t="s">
        <v>125</v>
      </c>
    </row>
    <row r="85" ht="23.25">
      <c r="A85" s="29" t="s">
        <v>126</v>
      </c>
    </row>
    <row r="86" ht="23.25">
      <c r="A86" s="29" t="s">
        <v>128</v>
      </c>
    </row>
  </sheetData>
  <sheetProtection/>
  <mergeCells count="10">
    <mergeCell ref="A45:B45"/>
    <mergeCell ref="C45:C47"/>
    <mergeCell ref="D45:D47"/>
    <mergeCell ref="A1:C1"/>
    <mergeCell ref="D1:E1"/>
    <mergeCell ref="A3:E3"/>
    <mergeCell ref="D4:E4"/>
    <mergeCell ref="A5:B5"/>
    <mergeCell ref="C5:C7"/>
    <mergeCell ref="D5:D7"/>
  </mergeCells>
  <printOptions/>
  <pageMargins left="0.54" right="0.16" top="0.48" bottom="0.19" header="0.19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7"/>
  <sheetViews>
    <sheetView zoomScalePageLayoutView="0" workbookViewId="0" topLeftCell="A32">
      <selection activeCell="A7" sqref="A7"/>
    </sheetView>
  </sheetViews>
  <sheetFormatPr defaultColWidth="9.140625" defaultRowHeight="12.75"/>
  <cols>
    <col min="1" max="1" width="66.28125" style="66" customWidth="1"/>
    <col min="2" max="2" width="11.8515625" style="66" customWidth="1"/>
    <col min="3" max="3" width="19.421875" style="66" customWidth="1"/>
    <col min="4" max="4" width="13.7109375" style="66" customWidth="1"/>
    <col min="5" max="5" width="21.8515625" style="66" bestFit="1" customWidth="1"/>
    <col min="6" max="6" width="13.8515625" style="66" bestFit="1" customWidth="1"/>
    <col min="7" max="16384" width="9.140625" style="66" customWidth="1"/>
  </cols>
  <sheetData>
    <row r="2" spans="1:6" ht="23.25">
      <c r="A2" s="124" t="s">
        <v>129</v>
      </c>
      <c r="B2" s="124"/>
      <c r="C2" s="124"/>
      <c r="F2" s="67"/>
    </row>
    <row r="3" spans="1:3" ht="23.25">
      <c r="A3" s="68" t="s">
        <v>130</v>
      </c>
      <c r="B3" s="69"/>
      <c r="C3" s="70">
        <v>30846.32</v>
      </c>
    </row>
    <row r="4" spans="1:6" ht="23.25">
      <c r="A4" s="71" t="s">
        <v>131</v>
      </c>
      <c r="B4" s="72"/>
      <c r="C4" s="73">
        <f>914263+18785</f>
        <v>933048</v>
      </c>
      <c r="F4" s="67"/>
    </row>
    <row r="5" spans="1:3" ht="23.25">
      <c r="A5" s="71" t="s">
        <v>132</v>
      </c>
      <c r="B5" s="72"/>
      <c r="C5" s="73">
        <v>103.61</v>
      </c>
    </row>
    <row r="6" spans="1:3" ht="23.25">
      <c r="A6" s="71" t="s">
        <v>133</v>
      </c>
      <c r="B6" s="72"/>
      <c r="C6" s="73">
        <f>1992.71+23.2-2015.91+93.81+183.74+292.88+776.47+271.12+124.34</f>
        <v>1742.36</v>
      </c>
    </row>
    <row r="7" spans="1:3" ht="23.25">
      <c r="A7" s="71" t="s">
        <v>134</v>
      </c>
      <c r="B7" s="72"/>
      <c r="C7" s="73">
        <v>0</v>
      </c>
    </row>
    <row r="8" spans="1:3" ht="23.25">
      <c r="A8" s="71" t="s">
        <v>135</v>
      </c>
      <c r="B8" s="72"/>
      <c r="C8" s="73">
        <f>85600-57600-14000</f>
        <v>14000</v>
      </c>
    </row>
    <row r="9" spans="1:3" ht="23.25">
      <c r="A9" s="71" t="s">
        <v>136</v>
      </c>
      <c r="B9" s="72"/>
      <c r="C9" s="73">
        <f>3060000+1513500-4031500-503000+1513500-501500+4000-1000500-14000</f>
        <v>40500</v>
      </c>
    </row>
    <row r="10" spans="1:3" ht="23.25">
      <c r="A10" s="71" t="s">
        <v>137</v>
      </c>
      <c r="B10" s="72"/>
      <c r="C10" s="73">
        <f>130000-52000-25500-25500-25500</f>
        <v>1500</v>
      </c>
    </row>
    <row r="11" spans="1:3" ht="23.25">
      <c r="A11" s="71" t="s">
        <v>138</v>
      </c>
      <c r="B11" s="72"/>
      <c r="C11" s="73">
        <f>162784+78792-78792-75040-87402+3000+410</f>
        <v>3752</v>
      </c>
    </row>
    <row r="12" spans="1:3" ht="23.25">
      <c r="A12" s="71" t="s">
        <v>139</v>
      </c>
      <c r="B12" s="72"/>
      <c r="C12" s="73">
        <f>571500+500+2793000-535000+4000-534000+1500+2000-531000</f>
        <v>1772500</v>
      </c>
    </row>
    <row r="13" spans="1:5" ht="23.25">
      <c r="A13" s="71" t="s">
        <v>140</v>
      </c>
      <c r="B13" s="72"/>
      <c r="C13" s="73">
        <f>188500+336000-24500-24500-24500</f>
        <v>451000</v>
      </c>
      <c r="E13" s="74"/>
    </row>
    <row r="14" spans="1:6" ht="23.25">
      <c r="A14" s="71" t="s">
        <v>141</v>
      </c>
      <c r="B14" s="72"/>
      <c r="C14" s="73">
        <f>61800-577.57-12000</f>
        <v>49222.43</v>
      </c>
      <c r="E14" s="74"/>
      <c r="F14" s="67"/>
    </row>
    <row r="15" spans="1:6" ht="23.25">
      <c r="A15" s="71" t="s">
        <v>142</v>
      </c>
      <c r="B15" s="72"/>
      <c r="C15" s="73">
        <v>45000</v>
      </c>
      <c r="E15" s="74"/>
      <c r="F15" s="67"/>
    </row>
    <row r="16" spans="1:6" ht="23.25">
      <c r="A16" s="71" t="s">
        <v>143</v>
      </c>
      <c r="B16" s="72"/>
      <c r="C16" s="73">
        <v>10000</v>
      </c>
      <c r="E16" s="74"/>
      <c r="F16" s="104"/>
    </row>
    <row r="17" spans="1:5" ht="23.25">
      <c r="A17" s="126" t="s">
        <v>144</v>
      </c>
      <c r="B17" s="127"/>
      <c r="C17" s="75">
        <f>SUM(C3:C16)</f>
        <v>3353214.72</v>
      </c>
      <c r="E17" s="74"/>
    </row>
    <row r="18" s="76" customFormat="1" ht="23.25">
      <c r="C18" s="77"/>
    </row>
    <row r="19" s="76" customFormat="1" ht="23.25">
      <c r="C19" s="77"/>
    </row>
    <row r="20" spans="1:3" ht="23.25">
      <c r="A20" s="125" t="s">
        <v>145</v>
      </c>
      <c r="B20" s="125"/>
      <c r="C20" s="125"/>
    </row>
    <row r="21" spans="1:3" ht="24" thickBot="1">
      <c r="A21" s="78" t="s">
        <v>146</v>
      </c>
      <c r="B21" s="79"/>
      <c r="C21" s="80">
        <f>SUM(C22:C25)</f>
        <v>203531.65</v>
      </c>
    </row>
    <row r="22" spans="1:3" ht="24" thickTop="1">
      <c r="A22" s="71" t="s">
        <v>147</v>
      </c>
      <c r="B22" s="72"/>
      <c r="C22" s="81">
        <v>197623</v>
      </c>
    </row>
    <row r="23" spans="1:3" ht="23.25">
      <c r="A23" s="71" t="s">
        <v>148</v>
      </c>
      <c r="B23" s="72"/>
      <c r="C23" s="81">
        <v>1844.25</v>
      </c>
    </row>
    <row r="24" spans="1:3" ht="23.25">
      <c r="A24" s="71" t="s">
        <v>149</v>
      </c>
      <c r="B24" s="72"/>
      <c r="C24" s="81">
        <v>3004.4</v>
      </c>
    </row>
    <row r="25" spans="1:3" ht="23.25">
      <c r="A25" s="71" t="s">
        <v>150</v>
      </c>
      <c r="B25" s="72"/>
      <c r="C25" s="81">
        <v>1060</v>
      </c>
    </row>
    <row r="26" spans="1:3" ht="24" thickBot="1">
      <c r="A26" s="82" t="s">
        <v>151</v>
      </c>
      <c r="B26" s="83"/>
      <c r="C26" s="80">
        <f>SUM(C27:C35)</f>
        <v>63171</v>
      </c>
    </row>
    <row r="27" spans="1:3" ht="24" thickTop="1">
      <c r="A27" s="71" t="s">
        <v>152</v>
      </c>
      <c r="B27" s="72"/>
      <c r="C27" s="81">
        <v>21950</v>
      </c>
    </row>
    <row r="28" spans="1:3" ht="23.25">
      <c r="A28" s="71" t="s">
        <v>153</v>
      </c>
      <c r="B28" s="72"/>
      <c r="C28" s="81">
        <v>0</v>
      </c>
    </row>
    <row r="29" spans="1:3" ht="23.25">
      <c r="A29" s="71" t="s">
        <v>154</v>
      </c>
      <c r="B29" s="72"/>
      <c r="C29" s="81">
        <v>36782</v>
      </c>
    </row>
    <row r="30" spans="1:3" ht="23.25">
      <c r="A30" s="71" t="s">
        <v>155</v>
      </c>
      <c r="B30" s="72"/>
      <c r="C30" s="81">
        <v>2908</v>
      </c>
    </row>
    <row r="31" spans="1:3" ht="23.25">
      <c r="A31" s="71" t="s">
        <v>156</v>
      </c>
      <c r="B31" s="72"/>
      <c r="C31" s="81">
        <v>1091</v>
      </c>
    </row>
    <row r="32" spans="1:3" ht="23.25">
      <c r="A32" s="71" t="s">
        <v>157</v>
      </c>
      <c r="B32" s="72"/>
      <c r="C32" s="81">
        <v>240</v>
      </c>
    </row>
    <row r="33" spans="1:3" ht="23.25" hidden="1">
      <c r="A33" s="71" t="s">
        <v>158</v>
      </c>
      <c r="B33" s="72"/>
      <c r="C33" s="81">
        <v>0</v>
      </c>
    </row>
    <row r="34" spans="1:3" ht="23.25" hidden="1">
      <c r="A34" s="71" t="s">
        <v>159</v>
      </c>
      <c r="B34" s="72"/>
      <c r="C34" s="81"/>
    </row>
    <row r="35" spans="1:3" ht="23.25">
      <c r="A35" s="71" t="s">
        <v>160</v>
      </c>
      <c r="B35" s="72"/>
      <c r="C35" s="81">
        <v>200</v>
      </c>
    </row>
    <row r="36" spans="1:3" ht="24" thickBot="1">
      <c r="A36" s="82" t="s">
        <v>161</v>
      </c>
      <c r="B36" s="83"/>
      <c r="C36" s="80">
        <f>SUM(C37:C38)</f>
        <v>68834.78</v>
      </c>
    </row>
    <row r="37" spans="1:3" ht="24" thickTop="1">
      <c r="A37" s="71" t="s">
        <v>162</v>
      </c>
      <c r="B37" s="72"/>
      <c r="C37" s="81">
        <v>68834.78</v>
      </c>
    </row>
    <row r="38" spans="1:3" ht="23.25">
      <c r="A38" s="71" t="s">
        <v>163</v>
      </c>
      <c r="B38" s="72"/>
      <c r="C38" s="81">
        <v>0</v>
      </c>
    </row>
    <row r="39" spans="1:3" ht="24" thickBot="1">
      <c r="A39" s="82" t="s">
        <v>164</v>
      </c>
      <c r="B39" s="83"/>
      <c r="C39" s="80">
        <f>SUM(C40)</f>
        <v>8260</v>
      </c>
    </row>
    <row r="40" spans="1:3" ht="24" thickTop="1">
      <c r="A40" s="71" t="s">
        <v>165</v>
      </c>
      <c r="B40" s="72"/>
      <c r="C40" s="81">
        <v>8260</v>
      </c>
    </row>
    <row r="41" spans="1:3" ht="24" thickBot="1">
      <c r="A41" s="82" t="s">
        <v>166</v>
      </c>
      <c r="B41" s="83"/>
      <c r="C41" s="80">
        <f>SUM(C42:C43)</f>
        <v>12200</v>
      </c>
    </row>
    <row r="42" spans="1:3" ht="24" thickTop="1">
      <c r="A42" s="84" t="s">
        <v>167</v>
      </c>
      <c r="B42" s="85"/>
      <c r="C42" s="86">
        <v>12200</v>
      </c>
    </row>
    <row r="43" spans="1:3" ht="23.25" hidden="1">
      <c r="A43" s="84" t="s">
        <v>168</v>
      </c>
      <c r="B43" s="85"/>
      <c r="C43" s="86">
        <v>0</v>
      </c>
    </row>
    <row r="44" spans="1:3" ht="24" thickBot="1">
      <c r="A44" s="82" t="s">
        <v>169</v>
      </c>
      <c r="B44" s="83"/>
      <c r="C44" s="80">
        <f>SUM(C45:C55)</f>
        <v>916121.22</v>
      </c>
    </row>
    <row r="45" spans="1:3" ht="24" thickTop="1">
      <c r="A45" s="84" t="s">
        <v>170</v>
      </c>
      <c r="B45" s="85"/>
      <c r="C45" s="81">
        <v>115450.15</v>
      </c>
    </row>
    <row r="46" spans="1:3" ht="23.25">
      <c r="A46" s="84" t="s">
        <v>171</v>
      </c>
      <c r="B46" s="85"/>
      <c r="C46" s="81">
        <v>324008.94</v>
      </c>
    </row>
    <row r="47" spans="1:3" ht="23.25" hidden="1">
      <c r="A47" s="84" t="s">
        <v>172</v>
      </c>
      <c r="B47" s="85"/>
      <c r="C47" s="81">
        <v>0</v>
      </c>
    </row>
    <row r="48" spans="1:3" ht="23.25" hidden="1">
      <c r="A48" s="84" t="s">
        <v>173</v>
      </c>
      <c r="B48" s="85"/>
      <c r="C48" s="81">
        <v>0</v>
      </c>
    </row>
    <row r="49" spans="1:3" ht="23.25">
      <c r="A49" s="84" t="s">
        <v>174</v>
      </c>
      <c r="B49" s="85"/>
      <c r="C49" s="81">
        <v>0</v>
      </c>
    </row>
    <row r="50" spans="1:3" ht="23.25">
      <c r="A50" s="84" t="s">
        <v>175</v>
      </c>
      <c r="B50" s="85"/>
      <c r="C50" s="81">
        <v>218068.13</v>
      </c>
    </row>
    <row r="51" spans="1:3" ht="23.25" hidden="1">
      <c r="A51" s="84" t="s">
        <v>176</v>
      </c>
      <c r="B51" s="85"/>
      <c r="C51" s="81">
        <v>0</v>
      </c>
    </row>
    <row r="52" spans="1:3" ht="23.25" hidden="1">
      <c r="A52" s="87" t="s">
        <v>177</v>
      </c>
      <c r="B52" s="88"/>
      <c r="C52" s="89">
        <v>0</v>
      </c>
    </row>
    <row r="53" spans="1:3" ht="23.25">
      <c r="A53" s="84" t="s">
        <v>178</v>
      </c>
      <c r="B53" s="85"/>
      <c r="C53" s="81">
        <v>256494</v>
      </c>
    </row>
    <row r="54" spans="1:3" ht="23.25">
      <c r="A54" s="84" t="s">
        <v>179</v>
      </c>
      <c r="B54" s="85"/>
      <c r="C54" s="81">
        <v>2100</v>
      </c>
    </row>
    <row r="55" spans="1:3" ht="23.25">
      <c r="A55" s="84"/>
      <c r="B55" s="85"/>
      <c r="C55" s="81"/>
    </row>
    <row r="56" spans="1:6" ht="24" hidden="1" thickBot="1">
      <c r="A56" s="90" t="s">
        <v>180</v>
      </c>
      <c r="B56" s="91"/>
      <c r="C56" s="92">
        <f>SUM(C57:C58)</f>
        <v>0</v>
      </c>
      <c r="F56" s="74"/>
    </row>
    <row r="57" spans="1:3" ht="24" hidden="1" thickTop="1">
      <c r="A57" s="93" t="s">
        <v>181</v>
      </c>
      <c r="B57" s="94"/>
      <c r="C57" s="95">
        <v>0</v>
      </c>
    </row>
    <row r="58" spans="1:3" ht="23.25" hidden="1">
      <c r="A58" s="93" t="s">
        <v>182</v>
      </c>
      <c r="B58" s="94"/>
      <c r="C58" s="95">
        <v>0</v>
      </c>
    </row>
    <row r="59" spans="1:3" ht="24" hidden="1" thickBot="1">
      <c r="A59" s="90" t="s">
        <v>183</v>
      </c>
      <c r="B59" s="91"/>
      <c r="C59" s="92">
        <f>SUM(C60:C62)</f>
        <v>0</v>
      </c>
    </row>
    <row r="60" spans="1:3" ht="24" hidden="1" thickTop="1">
      <c r="A60" s="93" t="s">
        <v>184</v>
      </c>
      <c r="B60" s="94"/>
      <c r="C60" s="95">
        <v>0</v>
      </c>
    </row>
    <row r="61" spans="1:3" ht="24.75" customHeight="1" hidden="1">
      <c r="A61" s="93" t="s">
        <v>185</v>
      </c>
      <c r="B61" s="94"/>
      <c r="C61" s="95">
        <v>0</v>
      </c>
    </row>
    <row r="62" spans="1:3" ht="24.75" customHeight="1" hidden="1">
      <c r="A62" s="93" t="s">
        <v>186</v>
      </c>
      <c r="B62" s="94"/>
      <c r="C62" s="95">
        <v>0</v>
      </c>
    </row>
    <row r="63" spans="1:5" ht="24" thickBot="1">
      <c r="A63" s="96" t="s">
        <v>187</v>
      </c>
      <c r="B63" s="97"/>
      <c r="C63" s="80">
        <f>C21+C26+C36+C39+C41+C44+C56+C59</f>
        <v>1272118.65</v>
      </c>
      <c r="D63" s="74"/>
      <c r="E63" s="74"/>
    </row>
    <row r="64" spans="1:6" ht="24" thickTop="1">
      <c r="A64" s="98"/>
      <c r="B64" s="98"/>
      <c r="C64" s="77"/>
      <c r="D64" s="74"/>
      <c r="E64" s="74"/>
      <c r="F64" s="74"/>
    </row>
    <row r="65" spans="1:6" ht="23.25">
      <c r="A65" s="98"/>
      <c r="B65" s="98"/>
      <c r="C65" s="77"/>
      <c r="D65" s="74"/>
      <c r="E65" s="74"/>
      <c r="F65" s="74"/>
    </row>
    <row r="66" spans="1:3" ht="23.25">
      <c r="A66" s="123" t="s">
        <v>188</v>
      </c>
      <c r="B66" s="123"/>
      <c r="C66" s="123"/>
    </row>
    <row r="67" spans="1:3" ht="23.25">
      <c r="A67" s="99" t="s">
        <v>189</v>
      </c>
      <c r="B67" s="100"/>
      <c r="C67" s="101">
        <v>30846.32</v>
      </c>
    </row>
    <row r="68" spans="1:3" ht="23.25">
      <c r="A68" s="102" t="s">
        <v>190</v>
      </c>
      <c r="B68" s="103"/>
      <c r="C68" s="73">
        <v>18785</v>
      </c>
    </row>
    <row r="69" spans="1:3" ht="23.25">
      <c r="A69" s="71" t="s">
        <v>191</v>
      </c>
      <c r="B69" s="72"/>
      <c r="C69" s="73">
        <v>103.61</v>
      </c>
    </row>
    <row r="70" spans="1:3" ht="23.25">
      <c r="A70" s="71" t="s">
        <v>192</v>
      </c>
      <c r="B70" s="72"/>
      <c r="C70" s="73">
        <v>124.34</v>
      </c>
    </row>
    <row r="71" spans="1:3" ht="23.25" hidden="1">
      <c r="A71" s="71" t="s">
        <v>193</v>
      </c>
      <c r="B71" s="72"/>
      <c r="C71" s="73">
        <v>0</v>
      </c>
    </row>
    <row r="72" spans="1:3" ht="24" thickBot="1">
      <c r="A72" s="96" t="s">
        <v>194</v>
      </c>
      <c r="B72" s="97"/>
      <c r="C72" s="80">
        <f>SUM(C67:C71)</f>
        <v>49859.27</v>
      </c>
    </row>
    <row r="73" spans="1:3" ht="24" thickTop="1">
      <c r="A73" s="98"/>
      <c r="B73" s="98"/>
      <c r="C73" s="77"/>
    </row>
    <row r="74" spans="1:3" ht="23.25">
      <c r="A74" s="98"/>
      <c r="B74" s="98"/>
      <c r="C74" s="77"/>
    </row>
    <row r="75" spans="1:3" ht="23.25">
      <c r="A75" s="123" t="s">
        <v>195</v>
      </c>
      <c r="B75" s="123"/>
      <c r="C75" s="123"/>
    </row>
    <row r="76" spans="1:3" ht="23.25">
      <c r="A76" s="99" t="s">
        <v>189</v>
      </c>
      <c r="B76" s="100"/>
      <c r="C76" s="101">
        <v>36952.2</v>
      </c>
    </row>
    <row r="77" spans="1:3" ht="23.25" hidden="1">
      <c r="A77" s="102" t="s">
        <v>190</v>
      </c>
      <c r="B77" s="103"/>
      <c r="C77" s="73">
        <v>0</v>
      </c>
    </row>
    <row r="78" spans="1:3" ht="23.25">
      <c r="A78" s="71" t="s">
        <v>191</v>
      </c>
      <c r="B78" s="72"/>
      <c r="C78" s="73">
        <v>225.94</v>
      </c>
    </row>
    <row r="79" spans="1:3" ht="23.25" hidden="1">
      <c r="A79" s="71" t="s">
        <v>192</v>
      </c>
      <c r="B79" s="72"/>
      <c r="C79" s="73">
        <v>0</v>
      </c>
    </row>
    <row r="80" spans="1:3" ht="23.25" hidden="1">
      <c r="A80" s="71" t="s">
        <v>196</v>
      </c>
      <c r="B80" s="72"/>
      <c r="C80" s="73">
        <v>0</v>
      </c>
    </row>
    <row r="81" spans="1:3" ht="23.25">
      <c r="A81" s="93" t="s">
        <v>197</v>
      </c>
      <c r="B81" s="72"/>
      <c r="C81" s="73">
        <v>577.57</v>
      </c>
    </row>
    <row r="82" spans="1:3" ht="23.25">
      <c r="A82" s="93" t="s">
        <v>198</v>
      </c>
      <c r="B82" s="72"/>
      <c r="C82" s="73">
        <v>12000</v>
      </c>
    </row>
    <row r="83" spans="1:3" ht="24" thickBot="1">
      <c r="A83" s="96" t="s">
        <v>194</v>
      </c>
      <c r="B83" s="97"/>
      <c r="C83" s="80">
        <f>SUM(C76:C80)</f>
        <v>37178.14</v>
      </c>
    </row>
    <row r="84" spans="1:3" ht="24" thickTop="1">
      <c r="A84" s="76"/>
      <c r="B84" s="76"/>
      <c r="C84" s="76"/>
    </row>
    <row r="85" spans="1:3" ht="23.25">
      <c r="A85" s="76"/>
      <c r="B85" s="76"/>
      <c r="C85" s="76"/>
    </row>
    <row r="86" spans="1:3" ht="23.25">
      <c r="A86" s="76"/>
      <c r="B86" s="76"/>
      <c r="C86" s="76"/>
    </row>
    <row r="87" spans="1:3" ht="23.25">
      <c r="A87" s="76"/>
      <c r="B87" s="76"/>
      <c r="C87" s="76"/>
    </row>
  </sheetData>
  <sheetProtection/>
  <mergeCells count="5">
    <mergeCell ref="A75:C75"/>
    <mergeCell ref="A2:C2"/>
    <mergeCell ref="A20:C20"/>
    <mergeCell ref="A66:C66"/>
    <mergeCell ref="A17:B17"/>
  </mergeCells>
  <printOptions/>
  <pageMargins left="0.87" right="0.39" top="0.65" bottom="0.52" header="0.4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STS</cp:lastModifiedBy>
  <dcterms:created xsi:type="dcterms:W3CDTF">1996-10-14T23:33:28Z</dcterms:created>
  <dcterms:modified xsi:type="dcterms:W3CDTF">2018-07-09T06:04:57Z</dcterms:modified>
  <cp:category/>
  <cp:version/>
  <cp:contentType/>
  <cp:contentStatus/>
</cp:coreProperties>
</file>