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35" windowHeight="9300" firstSheet="2" activeTab="11"/>
  </bookViews>
  <sheets>
    <sheet name="ก.ย. (ปป.)" sheetId="37" state="hidden" r:id="rId1"/>
    <sheet name="งบทดลอง(หลัง)" sheetId="40" state="hidden" r:id="rId2"/>
    <sheet name="งบแสดงฐานะการเงิน" sheetId="6" r:id="rId3"/>
    <sheet name="งบทรัพย์สิน " sheetId="41" r:id="rId4"/>
    <sheet name="ทรัพย์สินเพิ่ม-ลด " sheetId="42" state="hidden" r:id="rId5"/>
    <sheet name="เงินฝาก(หมายเหตุ 2)" sheetId="2" state="hidden" r:id="rId6"/>
    <sheet name="เงินรับฝาก(หมายเหตุ 3)" sheetId="3" state="hidden" r:id="rId7"/>
    <sheet name="รายจ่ายค้างจ่าย(หมายเหตุ 4)" sheetId="5" state="hidden" r:id="rId8"/>
    <sheet name="รายจ่ายรอจ่าย(หมายเหตุ 5)" sheetId="10" state="hidden" r:id="rId9"/>
    <sheet name="งบเงินสะสม(หมายเหตุ 6)" sheetId="4" r:id="rId10"/>
    <sheet name="จ่ายขาดเงินสะสม 30 กย." sheetId="14" r:id="rId11"/>
    <sheet name="จ่ายจากเงินรายรับ (รวม)" sheetId="34" r:id="rId12"/>
    <sheet name="หมายเหตุ" sheetId="18" r:id="rId13"/>
    <sheet name="จ่ายจากเงินรายรับ (เฉพาะกิจ" sheetId="19" state="hidden" r:id="rId14"/>
    <sheet name="จ่ายจากเงินรายรับ" sheetId="31" state="hidden" r:id="rId15"/>
    <sheet name="งานบริหารทั่วไป" sheetId="20" state="hidden" r:id="rId16"/>
    <sheet name="รักษาความสงบ " sheetId="21" state="hidden" r:id="rId17"/>
    <sheet name="การศึกษา " sheetId="22" state="hidden" r:id="rId18"/>
    <sheet name="สาธารณสุข" sheetId="23" state="hidden" r:id="rId19"/>
    <sheet name="สังคมสงเคราะห์" sheetId="24" state="hidden" r:id="rId20"/>
    <sheet name="เคหะและชุมชน " sheetId="25" state="hidden" r:id="rId21"/>
    <sheet name="สร้างความเข้มแข็ง " sheetId="26" state="hidden" r:id="rId22"/>
    <sheet name="ศาสนา" sheetId="27" state="hidden" r:id="rId23"/>
    <sheet name="เกษตร " sheetId="28" state="hidden" r:id="rId24"/>
    <sheet name="พาณิชย์" sheetId="29" state="hidden" r:id="rId25"/>
    <sheet name="งบกลาง" sheetId="30" state="hidden" r:id="rId26"/>
    <sheet name="531000" sheetId="35" state="hidden" r:id="rId27"/>
    <sheet name="532000" sheetId="38" state="hidden" r:id="rId28"/>
    <sheet name="533000" sheetId="36" state="hidden" r:id="rId29"/>
    <sheet name="534000" sheetId="39" state="hidden" r:id="rId30"/>
    <sheet name="วิเคราะห์งบ" sheetId="45" state="hidden" r:id="rId31"/>
    <sheet name="คงเหลือ" sheetId="46" state="hidden" r:id="rId32"/>
  </sheets>
  <definedNames>
    <definedName name="_xlnm.Print_Titles" localSheetId="10">'จ่ายขาดเงินสะสม 30 กย.'!#REF!</definedName>
    <definedName name="_xlnm.Print_Titles" localSheetId="7">'รายจ่ายค้างจ่าย(หมายเหตุ 4)'!$6:$7</definedName>
    <definedName name="_xlnm.Print_Titles" localSheetId="8">'รายจ่ายรอจ่าย(หมายเหตุ 5)'!$7:$8</definedName>
  </definedNames>
  <calcPr calcId="144525"/>
</workbook>
</file>

<file path=xl/calcChain.xml><?xml version="1.0" encoding="utf-8"?>
<calcChain xmlns="http://schemas.openxmlformats.org/spreadsheetml/2006/main">
  <c r="T29" i="45" l="1"/>
  <c r="T28" i="45"/>
  <c r="T27" i="45"/>
  <c r="T26" i="45"/>
  <c r="T25" i="45"/>
  <c r="T24" i="45"/>
  <c r="T23" i="45"/>
  <c r="T22" i="45"/>
  <c r="E30" i="45"/>
  <c r="D30" i="45"/>
  <c r="B30" i="45"/>
  <c r="C19" i="45"/>
  <c r="B19" i="45"/>
  <c r="D19" i="45" s="1"/>
  <c r="C18" i="45"/>
  <c r="B18" i="45"/>
  <c r="D18" i="45"/>
  <c r="B17" i="45"/>
  <c r="R16" i="45"/>
  <c r="C16" i="45"/>
  <c r="B16" i="45"/>
  <c r="D16" i="45" s="1"/>
  <c r="C15" i="45"/>
  <c r="B15" i="45"/>
  <c r="D15" i="45"/>
  <c r="C14" i="45"/>
  <c r="B14" i="45"/>
  <c r="D14" i="45" s="1"/>
  <c r="B13" i="45"/>
  <c r="R12" i="45"/>
  <c r="B12" i="45"/>
  <c r="R11" i="45"/>
  <c r="C11" i="45"/>
  <c r="B11" i="45"/>
  <c r="C10" i="45"/>
  <c r="B10" i="45"/>
  <c r="D10" i="45"/>
  <c r="K9" i="45"/>
  <c r="C9" i="45"/>
  <c r="B9" i="45"/>
  <c r="B20" i="45" s="1"/>
  <c r="D30" i="31"/>
  <c r="E21" i="40"/>
  <c r="E22" i="40"/>
  <c r="C51" i="42"/>
  <c r="B51" i="42"/>
  <c r="E51" i="42" s="1"/>
  <c r="E43" i="42"/>
  <c r="E42" i="42"/>
  <c r="D28" i="42"/>
  <c r="C28" i="42"/>
  <c r="B28" i="42"/>
  <c r="E24" i="42"/>
  <c r="E23" i="42"/>
  <c r="E22" i="42"/>
  <c r="E21" i="42"/>
  <c r="E19" i="42"/>
  <c r="E18" i="42"/>
  <c r="E17" i="42"/>
  <c r="E16" i="42"/>
  <c r="E15" i="42"/>
  <c r="E14" i="42"/>
  <c r="E13" i="42"/>
  <c r="E11" i="42"/>
  <c r="E10" i="42"/>
  <c r="E9" i="42"/>
  <c r="E8" i="42"/>
  <c r="E7" i="42"/>
  <c r="E6" i="42"/>
  <c r="E28" i="42"/>
  <c r="D224" i="41"/>
  <c r="B224" i="41"/>
  <c r="C226" i="41" s="1"/>
  <c r="D185" i="41"/>
  <c r="B185" i="41"/>
  <c r="D145" i="41"/>
  <c r="B145" i="41"/>
  <c r="D107" i="41"/>
  <c r="B107" i="41"/>
  <c r="D29" i="41"/>
  <c r="B29" i="41"/>
  <c r="G23" i="6"/>
  <c r="G20" i="10"/>
  <c r="F12" i="20"/>
  <c r="G12" i="10"/>
  <c r="G21" i="10" s="1"/>
  <c r="F12" i="10"/>
  <c r="E12" i="10"/>
  <c r="D12" i="10"/>
  <c r="C12" i="10"/>
  <c r="E14" i="10"/>
  <c r="E20" i="10" s="1"/>
  <c r="E12" i="28"/>
  <c r="N13" i="45" s="1"/>
  <c r="F13" i="22"/>
  <c r="D34" i="37"/>
  <c r="E29" i="40"/>
  <c r="D19" i="40"/>
  <c r="D18" i="40"/>
  <c r="D17" i="40"/>
  <c r="D16" i="40"/>
  <c r="D15" i="40"/>
  <c r="D29" i="40"/>
  <c r="C18" i="18"/>
  <c r="D30" i="37"/>
  <c r="D37" i="37"/>
  <c r="D32" i="37"/>
  <c r="F11" i="28"/>
  <c r="R12" i="31"/>
  <c r="F11" i="25"/>
  <c r="G11" i="20"/>
  <c r="H11" i="25"/>
  <c r="F11" i="22"/>
  <c r="F11" i="21"/>
  <c r="F11" i="20"/>
  <c r="H34" i="35"/>
  <c r="B34" i="35"/>
  <c r="E34" i="35"/>
  <c r="D34" i="35"/>
  <c r="G34" i="35"/>
  <c r="D33" i="35"/>
  <c r="B33" i="35"/>
  <c r="C33" i="35"/>
  <c r="E33" i="35"/>
  <c r="E40" i="35" s="1"/>
  <c r="D32" i="35"/>
  <c r="C32" i="35"/>
  <c r="C40" i="35" s="1"/>
  <c r="B32" i="35"/>
  <c r="H30" i="35"/>
  <c r="H40" i="35" s="1"/>
  <c r="J40" i="35"/>
  <c r="G40" i="35"/>
  <c r="I38" i="35"/>
  <c r="K38" i="35"/>
  <c r="I37" i="35"/>
  <c r="K37" i="35"/>
  <c r="I36" i="35"/>
  <c r="K36" i="35"/>
  <c r="I35" i="35"/>
  <c r="K35" i="35"/>
  <c r="F40" i="35"/>
  <c r="I32" i="35"/>
  <c r="K32" i="35" s="1"/>
  <c r="I31" i="35"/>
  <c r="K31" i="35" s="1"/>
  <c r="I30" i="35"/>
  <c r="K30" i="35" s="1"/>
  <c r="I29" i="35"/>
  <c r="K29" i="35" s="1"/>
  <c r="I28" i="35"/>
  <c r="K28" i="35" s="1"/>
  <c r="D36" i="37"/>
  <c r="D28" i="37"/>
  <c r="J14" i="35"/>
  <c r="E11" i="25"/>
  <c r="K12" i="31" s="1"/>
  <c r="U15" i="39"/>
  <c r="T15" i="39"/>
  <c r="R14" i="39"/>
  <c r="S14" i="39"/>
  <c r="R13" i="39"/>
  <c r="S13" i="39"/>
  <c r="V13" i="39"/>
  <c r="S12" i="39"/>
  <c r="V12" i="39"/>
  <c r="R12" i="39"/>
  <c r="S11" i="39"/>
  <c r="W11" i="39" s="1"/>
  <c r="Y11" i="39" s="1"/>
  <c r="R10" i="39"/>
  <c r="S10" i="39"/>
  <c r="W10" i="39" s="1"/>
  <c r="Y10" i="39" s="1"/>
  <c r="S9" i="39"/>
  <c r="R9" i="39"/>
  <c r="S8" i="39"/>
  <c r="V8" i="39"/>
  <c r="R8" i="39"/>
  <c r="S7" i="39"/>
  <c r="R7" i="39"/>
  <c r="W3" i="39"/>
  <c r="Y3" i="39" s="1"/>
  <c r="R6" i="39"/>
  <c r="S6" i="39"/>
  <c r="S5" i="39"/>
  <c r="R5" i="39"/>
  <c r="R15" i="39" s="1"/>
  <c r="V5" i="39"/>
  <c r="V15" i="39" s="1"/>
  <c r="S4" i="39"/>
  <c r="W4" i="39"/>
  <c r="Y4" i="39" s="1"/>
  <c r="F9" i="35"/>
  <c r="C13" i="35"/>
  <c r="L15" i="39"/>
  <c r="K15" i="39"/>
  <c r="J15" i="39"/>
  <c r="I15" i="39"/>
  <c r="H15" i="39"/>
  <c r="G15" i="39"/>
  <c r="F15" i="39"/>
  <c r="E15" i="39"/>
  <c r="D15" i="39"/>
  <c r="C15" i="39"/>
  <c r="B15" i="39"/>
  <c r="M14" i="39"/>
  <c r="O14" i="39"/>
  <c r="M13" i="39"/>
  <c r="O13" i="39"/>
  <c r="M12" i="39"/>
  <c r="O12" i="39"/>
  <c r="M11" i="39"/>
  <c r="O11" i="39"/>
  <c r="M10" i="39"/>
  <c r="O10" i="39"/>
  <c r="M9" i="39"/>
  <c r="O9" i="39"/>
  <c r="M8" i="39"/>
  <c r="O8" i="39"/>
  <c r="M7" i="39"/>
  <c r="O7" i="39"/>
  <c r="M6" i="39"/>
  <c r="O6" i="39"/>
  <c r="M5" i="39"/>
  <c r="O5" i="39"/>
  <c r="M4" i="39"/>
  <c r="O4" i="39"/>
  <c r="M3" i="39"/>
  <c r="O3" i="39"/>
  <c r="D17" i="36"/>
  <c r="J17" i="36"/>
  <c r="K17" i="36"/>
  <c r="L17" i="36"/>
  <c r="B17" i="36"/>
  <c r="C17" i="36"/>
  <c r="L15" i="36"/>
  <c r="K15" i="36"/>
  <c r="J15" i="36"/>
  <c r="I15" i="36"/>
  <c r="H15" i="36"/>
  <c r="G15" i="36"/>
  <c r="F15" i="36"/>
  <c r="E15" i="36"/>
  <c r="D15" i="36"/>
  <c r="C15" i="36"/>
  <c r="B15" i="36"/>
  <c r="M14" i="36"/>
  <c r="O14" i="36" s="1"/>
  <c r="M13" i="36"/>
  <c r="O13" i="36"/>
  <c r="M12" i="36"/>
  <c r="O12" i="36"/>
  <c r="M11" i="36"/>
  <c r="O11" i="36"/>
  <c r="M10" i="36"/>
  <c r="O10" i="36"/>
  <c r="M9" i="36"/>
  <c r="O9" i="36"/>
  <c r="M8" i="36"/>
  <c r="O8" i="36"/>
  <c r="M7" i="36"/>
  <c r="M6" i="36"/>
  <c r="M5" i="36"/>
  <c r="M4" i="36"/>
  <c r="M3" i="36"/>
  <c r="M14" i="38"/>
  <c r="M13" i="38"/>
  <c r="M12" i="38"/>
  <c r="M11" i="38"/>
  <c r="M10" i="38"/>
  <c r="M9" i="38"/>
  <c r="M8" i="38"/>
  <c r="M7" i="38"/>
  <c r="M6" i="38"/>
  <c r="M5" i="38"/>
  <c r="M4" i="38"/>
  <c r="M3" i="38"/>
  <c r="L15" i="38"/>
  <c r="K15" i="38"/>
  <c r="J15" i="38"/>
  <c r="I15" i="38"/>
  <c r="H15" i="38"/>
  <c r="G15" i="38"/>
  <c r="F15" i="38"/>
  <c r="E15" i="38"/>
  <c r="D15" i="38"/>
  <c r="C15" i="38"/>
  <c r="B15" i="38"/>
  <c r="M15" i="38" s="1"/>
  <c r="H16" i="25"/>
  <c r="G16" i="25"/>
  <c r="F10" i="25"/>
  <c r="E10" i="25" s="1"/>
  <c r="G10" i="20"/>
  <c r="R11" i="31"/>
  <c r="E11" i="28"/>
  <c r="N12" i="45" s="1"/>
  <c r="E11" i="22"/>
  <c r="H12" i="45" s="1"/>
  <c r="H14" i="35"/>
  <c r="G14" i="35"/>
  <c r="F14" i="35"/>
  <c r="E14" i="35"/>
  <c r="D14" i="35"/>
  <c r="C14" i="35"/>
  <c r="B14" i="35"/>
  <c r="I13" i="35"/>
  <c r="I12" i="35"/>
  <c r="I11" i="35"/>
  <c r="I10" i="35"/>
  <c r="I9" i="35"/>
  <c r="I8" i="35"/>
  <c r="I7" i="35"/>
  <c r="I6" i="35"/>
  <c r="I5" i="35"/>
  <c r="I4" i="35"/>
  <c r="I3" i="35"/>
  <c r="I2" i="35"/>
  <c r="I14" i="35" s="1"/>
  <c r="K14" i="35" s="1"/>
  <c r="N19" i="20"/>
  <c r="M19" i="20"/>
  <c r="K20" i="25"/>
  <c r="L19" i="20"/>
  <c r="K19" i="20"/>
  <c r="F15" i="21"/>
  <c r="F15" i="25"/>
  <c r="R16" i="31"/>
  <c r="D12" i="27"/>
  <c r="C12" i="26"/>
  <c r="D12" i="26" s="1"/>
  <c r="C16" i="25"/>
  <c r="C17" i="45" s="1"/>
  <c r="C12" i="22"/>
  <c r="D12" i="22"/>
  <c r="D16" i="21"/>
  <c r="C12" i="21"/>
  <c r="D12" i="21" s="1"/>
  <c r="B23" i="34"/>
  <c r="D10" i="26"/>
  <c r="C12" i="20"/>
  <c r="C13" i="45" s="1"/>
  <c r="D13" i="45" s="1"/>
  <c r="C11" i="20"/>
  <c r="D11" i="20" s="1"/>
  <c r="C35" i="18"/>
  <c r="C23" i="18"/>
  <c r="F9" i="19"/>
  <c r="N9" i="19"/>
  <c r="C32" i="19"/>
  <c r="F20" i="4"/>
  <c r="F14" i="4"/>
  <c r="F17" i="4" s="1"/>
  <c r="E63" i="37"/>
  <c r="E60" i="37"/>
  <c r="E59" i="37"/>
  <c r="E55" i="37"/>
  <c r="E54" i="37"/>
  <c r="E52" i="37"/>
  <c r="E44" i="37"/>
  <c r="E50" i="37" s="1"/>
  <c r="E71" i="37" s="1"/>
  <c r="D41" i="37"/>
  <c r="D39" i="37"/>
  <c r="D35" i="37"/>
  <c r="D33" i="37"/>
  <c r="D31" i="37"/>
  <c r="I28" i="37"/>
  <c r="I29" i="37" s="1"/>
  <c r="H28" i="37"/>
  <c r="H29" i="37" s="1"/>
  <c r="G28" i="37"/>
  <c r="G29" i="37" s="1"/>
  <c r="D27" i="37"/>
  <c r="B23" i="37"/>
  <c r="J22" i="37"/>
  <c r="B22" i="37"/>
  <c r="D21" i="37"/>
  <c r="D20" i="37"/>
  <c r="D19" i="37"/>
  <c r="D18" i="37"/>
  <c r="D17" i="37"/>
  <c r="D16" i="37"/>
  <c r="D15" i="37"/>
  <c r="D44" i="37" s="1"/>
  <c r="D50" i="37" s="1"/>
  <c r="D71" i="37" s="1"/>
  <c r="G71" i="37" s="1"/>
  <c r="F14" i="37"/>
  <c r="B29" i="34"/>
  <c r="B28" i="34"/>
  <c r="B27" i="34"/>
  <c r="B26" i="34"/>
  <c r="B25" i="34"/>
  <c r="B24" i="34"/>
  <c r="B22" i="34"/>
  <c r="B30" i="31"/>
  <c r="E12" i="20"/>
  <c r="F13" i="45" s="1"/>
  <c r="F13" i="31"/>
  <c r="E10" i="28"/>
  <c r="N11" i="45" s="1"/>
  <c r="N11" i="31"/>
  <c r="E16" i="25"/>
  <c r="K17" i="45" s="1"/>
  <c r="K17" i="31"/>
  <c r="K9" i="31"/>
  <c r="E13" i="22"/>
  <c r="H14" i="45" s="1"/>
  <c r="H14" i="31"/>
  <c r="E10" i="22"/>
  <c r="H11" i="45" s="1"/>
  <c r="E10" i="21"/>
  <c r="G11" i="31" s="1"/>
  <c r="E10" i="20"/>
  <c r="F11" i="45" s="1"/>
  <c r="C19" i="31"/>
  <c r="C19" i="34" s="1"/>
  <c r="C18" i="31"/>
  <c r="C18" i="34" s="1"/>
  <c r="C17" i="31"/>
  <c r="C17" i="34" s="1"/>
  <c r="C16" i="31"/>
  <c r="C16" i="34" s="1"/>
  <c r="C15" i="31"/>
  <c r="C15" i="34" s="1"/>
  <c r="C14" i="31"/>
  <c r="C14" i="34" s="1"/>
  <c r="C12" i="31"/>
  <c r="C12" i="34" s="1"/>
  <c r="C11" i="31"/>
  <c r="C11" i="34" s="1"/>
  <c r="C10" i="31"/>
  <c r="C10" i="34" s="1"/>
  <c r="C9" i="31"/>
  <c r="C9" i="34" s="1"/>
  <c r="C13" i="31"/>
  <c r="C13" i="34" s="1"/>
  <c r="B19" i="31"/>
  <c r="B19" i="34" s="1"/>
  <c r="B18" i="31"/>
  <c r="B18" i="34" s="1"/>
  <c r="B17" i="31"/>
  <c r="B17" i="34" s="1"/>
  <c r="B16" i="31"/>
  <c r="B16" i="34" s="1"/>
  <c r="B15" i="31"/>
  <c r="B15" i="34" s="1"/>
  <c r="B14" i="31"/>
  <c r="B14" i="34" s="1"/>
  <c r="B13" i="31"/>
  <c r="B13" i="34" s="1"/>
  <c r="B12" i="31"/>
  <c r="B12" i="34" s="1"/>
  <c r="B11" i="31"/>
  <c r="B11" i="34" s="1"/>
  <c r="B10" i="31"/>
  <c r="B10" i="34"/>
  <c r="B9" i="31"/>
  <c r="B9" i="34" s="1"/>
  <c r="E30" i="31"/>
  <c r="D8" i="30"/>
  <c r="E9" i="30"/>
  <c r="P10" i="45" s="1"/>
  <c r="E10" i="30"/>
  <c r="P11" i="45" s="1"/>
  <c r="P11" i="31"/>
  <c r="E11" i="30"/>
  <c r="P12" i="45" s="1"/>
  <c r="P12" i="31"/>
  <c r="E12" i="30"/>
  <c r="P13" i="31" s="1"/>
  <c r="E13" i="30"/>
  <c r="P14" i="31" s="1"/>
  <c r="E14" i="30"/>
  <c r="P15" i="45" s="1"/>
  <c r="P15" i="31"/>
  <c r="E15" i="30"/>
  <c r="P16" i="45" s="1"/>
  <c r="P16" i="31"/>
  <c r="E16" i="30"/>
  <c r="P17" i="31" s="1"/>
  <c r="E17" i="30"/>
  <c r="P18" i="45" s="1"/>
  <c r="E18" i="30"/>
  <c r="P19" i="45" s="1"/>
  <c r="P19" i="31"/>
  <c r="B19" i="30"/>
  <c r="C19" i="30"/>
  <c r="D19" i="30"/>
  <c r="E8" i="29"/>
  <c r="O9" i="31" s="1"/>
  <c r="D9" i="29"/>
  <c r="E9" i="29"/>
  <c r="O10" i="45" s="1"/>
  <c r="O10" i="31"/>
  <c r="D10" i="29"/>
  <c r="E10" i="29"/>
  <c r="O11" i="31" s="1"/>
  <c r="D11" i="29"/>
  <c r="E11" i="29"/>
  <c r="O12" i="45" s="1"/>
  <c r="O12" i="31"/>
  <c r="D12" i="29"/>
  <c r="E12" i="29"/>
  <c r="O13" i="45" s="1"/>
  <c r="D13" i="29"/>
  <c r="E13" i="29"/>
  <c r="O14" i="45" s="1"/>
  <c r="O14" i="31"/>
  <c r="D14" i="29"/>
  <c r="E14" i="29"/>
  <c r="O15" i="45" s="1"/>
  <c r="O15" i="31"/>
  <c r="D15" i="29"/>
  <c r="E15" i="29"/>
  <c r="O16" i="45" s="1"/>
  <c r="O16" i="31"/>
  <c r="D16" i="29"/>
  <c r="E16" i="29"/>
  <c r="O17" i="45" s="1"/>
  <c r="O17" i="31"/>
  <c r="D17" i="29"/>
  <c r="E17" i="29"/>
  <c r="O18" i="45" s="1"/>
  <c r="O18" i="31"/>
  <c r="D18" i="29"/>
  <c r="E18" i="29"/>
  <c r="O19" i="45" s="1"/>
  <c r="O19" i="31"/>
  <c r="B19" i="29"/>
  <c r="C19" i="29"/>
  <c r="D19" i="29"/>
  <c r="F19" i="29"/>
  <c r="E8" i="28"/>
  <c r="N9" i="45" s="1"/>
  <c r="N9" i="31"/>
  <c r="E9" i="28"/>
  <c r="N10" i="45" s="1"/>
  <c r="D10" i="28"/>
  <c r="D11" i="28"/>
  <c r="D12" i="28"/>
  <c r="N13" i="31"/>
  <c r="D13" i="28"/>
  <c r="E13" i="28"/>
  <c r="N14" i="45" s="1"/>
  <c r="N14" i="31"/>
  <c r="D14" i="28"/>
  <c r="E14" i="28"/>
  <c r="N15" i="45" s="1"/>
  <c r="D15" i="28"/>
  <c r="E15" i="28"/>
  <c r="N16" i="45" s="1"/>
  <c r="D16" i="28"/>
  <c r="E16" i="28"/>
  <c r="N17" i="45" s="1"/>
  <c r="N17" i="31"/>
  <c r="D17" i="28"/>
  <c r="E17" i="28"/>
  <c r="N18" i="45" s="1"/>
  <c r="D18" i="28"/>
  <c r="E18" i="28"/>
  <c r="N19" i="45" s="1"/>
  <c r="N19" i="31"/>
  <c r="B19" i="28"/>
  <c r="C19" i="28"/>
  <c r="E8" i="27"/>
  <c r="M9" i="45" s="1"/>
  <c r="M9" i="31"/>
  <c r="E9" i="27"/>
  <c r="M10" i="31" s="1"/>
  <c r="E10" i="27"/>
  <c r="M11" i="31" s="1"/>
  <c r="E11" i="27"/>
  <c r="M12" i="45" s="1"/>
  <c r="M12" i="31"/>
  <c r="E12" i="27"/>
  <c r="M13" i="45" s="1"/>
  <c r="M13" i="31"/>
  <c r="E13" i="27"/>
  <c r="M14" i="45" s="1"/>
  <c r="M14" i="31"/>
  <c r="E14" i="27"/>
  <c r="M15" i="31" s="1"/>
  <c r="E15" i="27"/>
  <c r="M16" i="31" s="1"/>
  <c r="E16" i="27"/>
  <c r="M17" i="45" s="1"/>
  <c r="M17" i="31"/>
  <c r="E17" i="27"/>
  <c r="M18" i="45" s="1"/>
  <c r="M18" i="31"/>
  <c r="E18" i="27"/>
  <c r="M19" i="45" s="1"/>
  <c r="B19" i="27"/>
  <c r="C19" i="27"/>
  <c r="D19" i="27"/>
  <c r="F19" i="27"/>
  <c r="G19" i="27"/>
  <c r="E8" i="26"/>
  <c r="L9" i="45" s="1"/>
  <c r="L9" i="31"/>
  <c r="E9" i="26"/>
  <c r="L10" i="45" s="1"/>
  <c r="L10" i="31"/>
  <c r="E10" i="26"/>
  <c r="L11" i="45" s="1"/>
  <c r="D11" i="26"/>
  <c r="E11" i="26"/>
  <c r="L12" i="45" s="1"/>
  <c r="L12" i="31"/>
  <c r="E12" i="26"/>
  <c r="L13" i="45" s="1"/>
  <c r="L13" i="31"/>
  <c r="D13" i="26"/>
  <c r="E13" i="26"/>
  <c r="L14" i="31" s="1"/>
  <c r="D14" i="26"/>
  <c r="E14" i="26"/>
  <c r="L15" i="45" s="1"/>
  <c r="L15" i="31"/>
  <c r="D15" i="26"/>
  <c r="E15" i="26"/>
  <c r="L16" i="45" s="1"/>
  <c r="D16" i="26"/>
  <c r="E16" i="26"/>
  <c r="L17" i="45" s="1"/>
  <c r="L17" i="31"/>
  <c r="D17" i="26"/>
  <c r="E17" i="26"/>
  <c r="L18" i="45" s="1"/>
  <c r="D18" i="26"/>
  <c r="E18" i="26"/>
  <c r="L19" i="45" s="1"/>
  <c r="L19" i="31"/>
  <c r="B19" i="26"/>
  <c r="C19" i="26"/>
  <c r="F19" i="26"/>
  <c r="E9" i="25"/>
  <c r="K10" i="45" s="1"/>
  <c r="K10" i="31"/>
  <c r="D10" i="25"/>
  <c r="D11" i="25"/>
  <c r="D12" i="25"/>
  <c r="E12" i="25"/>
  <c r="K13" i="45" s="1"/>
  <c r="K13" i="31"/>
  <c r="D13" i="25"/>
  <c r="E13" i="25"/>
  <c r="K14" i="45" s="1"/>
  <c r="K14" i="31"/>
  <c r="D14" i="25"/>
  <c r="E14" i="25"/>
  <c r="K15" i="31" s="1"/>
  <c r="D15" i="25"/>
  <c r="E15" i="25"/>
  <c r="K16" i="45" s="1"/>
  <c r="K16" i="31"/>
  <c r="D16" i="25"/>
  <c r="D17" i="25"/>
  <c r="E17" i="25"/>
  <c r="K18" i="45" s="1"/>
  <c r="K18" i="31"/>
  <c r="D18" i="25"/>
  <c r="E18" i="25"/>
  <c r="K19" i="45" s="1"/>
  <c r="B19" i="25"/>
  <c r="C19" i="25"/>
  <c r="H19" i="25"/>
  <c r="G19" i="25"/>
  <c r="E8" i="24"/>
  <c r="J9" i="45" s="1"/>
  <c r="E9" i="24"/>
  <c r="J10" i="45" s="1"/>
  <c r="J10" i="31"/>
  <c r="E10" i="24"/>
  <c r="J11" i="45" s="1"/>
  <c r="J11" i="31"/>
  <c r="E11" i="24"/>
  <c r="J12" i="45" s="1"/>
  <c r="D12" i="24"/>
  <c r="E12" i="24"/>
  <c r="J13" i="45" s="1"/>
  <c r="J13" i="31"/>
  <c r="D13" i="24"/>
  <c r="E13" i="24"/>
  <c r="J14" i="31" s="1"/>
  <c r="D14" i="24"/>
  <c r="E14" i="24"/>
  <c r="J15" i="45" s="1"/>
  <c r="D15" i="24"/>
  <c r="E15" i="24"/>
  <c r="J16" i="45" s="1"/>
  <c r="D16" i="24"/>
  <c r="E16" i="24"/>
  <c r="J17" i="31" s="1"/>
  <c r="D17" i="24"/>
  <c r="E17" i="24"/>
  <c r="J18" i="45" s="1"/>
  <c r="D18" i="24"/>
  <c r="E18" i="24"/>
  <c r="J19" i="31" s="1"/>
  <c r="B19" i="24"/>
  <c r="C19" i="24"/>
  <c r="E19" i="24"/>
  <c r="F19" i="24"/>
  <c r="E8" i="23"/>
  <c r="I9" i="31" s="1"/>
  <c r="D9" i="23"/>
  <c r="E9" i="23"/>
  <c r="I10" i="31" s="1"/>
  <c r="D10" i="23"/>
  <c r="E10" i="23"/>
  <c r="I11" i="31" s="1"/>
  <c r="D11" i="23"/>
  <c r="E11" i="23"/>
  <c r="I12" i="31" s="1"/>
  <c r="D12" i="23"/>
  <c r="E12" i="23"/>
  <c r="I13" i="45" s="1"/>
  <c r="I13" i="31"/>
  <c r="D13" i="23"/>
  <c r="E13" i="23"/>
  <c r="I14" i="45" s="1"/>
  <c r="D14" i="23"/>
  <c r="E14" i="23"/>
  <c r="I15" i="31" s="1"/>
  <c r="D15" i="23"/>
  <c r="E15" i="23"/>
  <c r="I16" i="31" s="1"/>
  <c r="D16" i="23"/>
  <c r="E16" i="23"/>
  <c r="I17" i="45" s="1"/>
  <c r="D17" i="23"/>
  <c r="E17" i="23"/>
  <c r="I18" i="45" s="1"/>
  <c r="I18" i="31"/>
  <c r="D18" i="23"/>
  <c r="E18" i="23"/>
  <c r="I19" i="45" s="1"/>
  <c r="B19" i="23"/>
  <c r="C19" i="23"/>
  <c r="D19" i="23"/>
  <c r="F19" i="23"/>
  <c r="E8" i="22"/>
  <c r="H9" i="45" s="1"/>
  <c r="E9" i="22"/>
  <c r="H10" i="45" s="1"/>
  <c r="H10" i="31"/>
  <c r="D10" i="22"/>
  <c r="D11" i="22"/>
  <c r="E12" i="22"/>
  <c r="H13" i="45" s="1"/>
  <c r="H13" i="31"/>
  <c r="D13" i="22"/>
  <c r="D14" i="22"/>
  <c r="E14" i="22"/>
  <c r="H15" i="45" s="1"/>
  <c r="D15" i="22"/>
  <c r="E15" i="22"/>
  <c r="H16" i="45" s="1"/>
  <c r="H16" i="31"/>
  <c r="D16" i="22"/>
  <c r="E16" i="22"/>
  <c r="H17" i="45" s="1"/>
  <c r="H17" i="31"/>
  <c r="D17" i="22"/>
  <c r="E17" i="22"/>
  <c r="H18" i="45" s="1"/>
  <c r="H18" i="31"/>
  <c r="D18" i="22"/>
  <c r="E18" i="22"/>
  <c r="H19" i="31" s="1"/>
  <c r="B19" i="22"/>
  <c r="E8" i="21"/>
  <c r="G9" i="45" s="1"/>
  <c r="G9" i="31"/>
  <c r="D9" i="21"/>
  <c r="E9" i="21"/>
  <c r="G10" i="31" s="1"/>
  <c r="D10" i="21"/>
  <c r="D11" i="21"/>
  <c r="E11" i="21"/>
  <c r="G12" i="31" s="1"/>
  <c r="E12" i="21"/>
  <c r="G13" i="45" s="1"/>
  <c r="D13" i="21"/>
  <c r="E13" i="21"/>
  <c r="G14" i="45" s="1"/>
  <c r="D14" i="21"/>
  <c r="E14" i="21"/>
  <c r="G15" i="31" s="1"/>
  <c r="D15" i="21"/>
  <c r="E15" i="21"/>
  <c r="G16" i="31" s="1"/>
  <c r="E16" i="21"/>
  <c r="G17" i="45" s="1"/>
  <c r="E17" i="21"/>
  <c r="G18" i="31" s="1"/>
  <c r="E18" i="21"/>
  <c r="G19" i="45" s="1"/>
  <c r="B19" i="21"/>
  <c r="F19" i="21"/>
  <c r="G19" i="21"/>
  <c r="E8" i="20"/>
  <c r="F9" i="45" s="1"/>
  <c r="D9" i="20"/>
  <c r="E9" i="20"/>
  <c r="F10" i="45" s="1"/>
  <c r="D10" i="20"/>
  <c r="E11" i="20"/>
  <c r="F12" i="45" s="1"/>
  <c r="F12" i="31"/>
  <c r="D12" i="20"/>
  <c r="D13" i="20"/>
  <c r="E13" i="20"/>
  <c r="F14" i="45" s="1"/>
  <c r="F14" i="31"/>
  <c r="D14" i="20"/>
  <c r="E14" i="20"/>
  <c r="F15" i="45" s="1"/>
  <c r="D15" i="20"/>
  <c r="E15" i="20"/>
  <c r="F16" i="45" s="1"/>
  <c r="F16" i="31"/>
  <c r="D16" i="20"/>
  <c r="E16" i="20"/>
  <c r="F17" i="45" s="1"/>
  <c r="F17" i="31"/>
  <c r="D17" i="20"/>
  <c r="E17" i="20"/>
  <c r="F18" i="45" s="1"/>
  <c r="F18" i="31"/>
  <c r="D18" i="20"/>
  <c r="E18" i="20"/>
  <c r="F19" i="45" s="1"/>
  <c r="F19" i="31"/>
  <c r="B19" i="20"/>
  <c r="C19" i="20"/>
  <c r="G19" i="20"/>
  <c r="C9" i="19"/>
  <c r="C10" i="19"/>
  <c r="C11" i="19"/>
  <c r="C12" i="19"/>
  <c r="C13" i="19"/>
  <c r="C14" i="19"/>
  <c r="C15" i="19"/>
  <c r="C16" i="19"/>
  <c r="C17" i="19"/>
  <c r="C18" i="19"/>
  <c r="C19" i="19"/>
  <c r="D20" i="19"/>
  <c r="E20" i="19"/>
  <c r="F20" i="19"/>
  <c r="G20" i="19"/>
  <c r="H20" i="19"/>
  <c r="I20" i="19"/>
  <c r="J20" i="19"/>
  <c r="K20" i="19"/>
  <c r="L20" i="19"/>
  <c r="M20" i="19"/>
  <c r="N20" i="19"/>
  <c r="C6" i="18"/>
  <c r="C12" i="18"/>
  <c r="C29" i="18"/>
  <c r="D21" i="14"/>
  <c r="E21" i="14"/>
  <c r="F21" i="14"/>
  <c r="G21" i="14"/>
  <c r="H21" i="14"/>
  <c r="D12" i="3"/>
  <c r="C23" i="5"/>
  <c r="C20" i="10"/>
  <c r="C21" i="10"/>
  <c r="D20" i="10"/>
  <c r="D21" i="10"/>
  <c r="F20" i="10"/>
  <c r="F21" i="10"/>
  <c r="G11" i="6"/>
  <c r="G12" i="6" s="1"/>
  <c r="G23" i="5"/>
  <c r="G11" i="5"/>
  <c r="G15" i="5"/>
  <c r="C11" i="5"/>
  <c r="C15" i="5"/>
  <c r="F23" i="5"/>
  <c r="E23" i="5"/>
  <c r="D23" i="5"/>
  <c r="F15" i="5"/>
  <c r="E15" i="5"/>
  <c r="D15" i="5"/>
  <c r="F11" i="5"/>
  <c r="E11" i="5"/>
  <c r="D11" i="5"/>
  <c r="F23" i="4"/>
  <c r="E18" i="2"/>
  <c r="E8" i="30"/>
  <c r="P9" i="31" s="1"/>
  <c r="F19" i="30"/>
  <c r="E19" i="26"/>
  <c r="F19" i="20"/>
  <c r="D9" i="31"/>
  <c r="D19" i="31"/>
  <c r="J28" i="37"/>
  <c r="J29" i="37" s="1"/>
  <c r="C20" i="19"/>
  <c r="B30" i="34"/>
  <c r="B31" i="34" s="1"/>
  <c r="D12" i="31"/>
  <c r="D19" i="28"/>
  <c r="E19" i="27"/>
  <c r="D19" i="25"/>
  <c r="E19" i="23"/>
  <c r="C19" i="22"/>
  <c r="D16" i="31"/>
  <c r="C19" i="21"/>
  <c r="D15" i="31"/>
  <c r="D18" i="31"/>
  <c r="D10" i="31"/>
  <c r="D13" i="31"/>
  <c r="D11" i="31"/>
  <c r="B20" i="31"/>
  <c r="D19" i="22"/>
  <c r="D14" i="31"/>
  <c r="E19" i="20"/>
  <c r="D17" i="31"/>
  <c r="N12" i="31"/>
  <c r="E19" i="28"/>
  <c r="F19" i="28"/>
  <c r="H12" i="31"/>
  <c r="F19" i="22"/>
  <c r="F19" i="25"/>
  <c r="E19" i="25" s="1"/>
  <c r="W14" i="39"/>
  <c r="Y14" i="39" s="1"/>
  <c r="W13" i="39"/>
  <c r="Y13" i="39" s="1"/>
  <c r="W12" i="39"/>
  <c r="Y12" i="39" s="1"/>
  <c r="W9" i="39"/>
  <c r="Y9" i="39" s="1"/>
  <c r="W8" i="39"/>
  <c r="Y8" i="39" s="1"/>
  <c r="W7" i="39"/>
  <c r="Y7" i="39" s="1"/>
  <c r="W6" i="39"/>
  <c r="Y6" i="39" s="1"/>
  <c r="M15" i="39"/>
  <c r="M15" i="36"/>
  <c r="E19" i="21"/>
  <c r="I34" i="35"/>
  <c r="K34" i="35"/>
  <c r="B40" i="35"/>
  <c r="I33" i="35"/>
  <c r="K33" i="35" s="1"/>
  <c r="D40" i="35"/>
  <c r="I39" i="35"/>
  <c r="K39" i="35"/>
  <c r="G29" i="40"/>
  <c r="D24" i="5"/>
  <c r="C24" i="5"/>
  <c r="G24" i="5" s="1"/>
  <c r="D9" i="45"/>
  <c r="D20" i="31" l="1"/>
  <c r="D19" i="24"/>
  <c r="D19" i="26"/>
  <c r="D19" i="20"/>
  <c r="D19" i="21"/>
  <c r="M17" i="36"/>
  <c r="S15" i="39"/>
  <c r="E21" i="10"/>
  <c r="T30" i="45"/>
  <c r="F20" i="45"/>
  <c r="K11" i="45"/>
  <c r="K11" i="31"/>
  <c r="N20" i="45"/>
  <c r="I9" i="45"/>
  <c r="O9" i="45"/>
  <c r="G10" i="45"/>
  <c r="I10" i="45"/>
  <c r="M10" i="45"/>
  <c r="D11" i="45"/>
  <c r="G11" i="45"/>
  <c r="I11" i="45"/>
  <c r="M11" i="45"/>
  <c r="O11" i="45"/>
  <c r="C12" i="45"/>
  <c r="G12" i="45"/>
  <c r="I12" i="45"/>
  <c r="K12" i="45"/>
  <c r="P13" i="45"/>
  <c r="E13" i="45" s="1"/>
  <c r="J14" i="45"/>
  <c r="L14" i="45"/>
  <c r="L20" i="45" s="1"/>
  <c r="P14" i="45"/>
  <c r="G15" i="45"/>
  <c r="I15" i="45"/>
  <c r="K15" i="45"/>
  <c r="K20" i="45" s="1"/>
  <c r="M15" i="45"/>
  <c r="G16" i="45"/>
  <c r="I16" i="45"/>
  <c r="M16" i="45"/>
  <c r="J17" i="45"/>
  <c r="P17" i="45"/>
  <c r="G18" i="45"/>
  <c r="E18" i="45" s="1"/>
  <c r="H19" i="45"/>
  <c r="J19" i="45"/>
  <c r="I40" i="35"/>
  <c r="K40" i="35" s="1"/>
  <c r="E19" i="30"/>
  <c r="F15" i="31"/>
  <c r="F10" i="31"/>
  <c r="F9" i="31"/>
  <c r="G19" i="31"/>
  <c r="G17" i="31"/>
  <c r="G14" i="31"/>
  <c r="G13" i="31"/>
  <c r="H15" i="31"/>
  <c r="H9" i="31"/>
  <c r="I19" i="31"/>
  <c r="I17" i="31"/>
  <c r="I14" i="31"/>
  <c r="J18" i="31"/>
  <c r="J16" i="31"/>
  <c r="J15" i="31"/>
  <c r="J12" i="31"/>
  <c r="J9" i="31"/>
  <c r="K19" i="31"/>
  <c r="L18" i="31"/>
  <c r="L16" i="31"/>
  <c r="L11" i="31"/>
  <c r="M19" i="31"/>
  <c r="N18" i="31"/>
  <c r="N16" i="31"/>
  <c r="N15" i="31"/>
  <c r="N10" i="31"/>
  <c r="E19" i="29"/>
  <c r="O13" i="31"/>
  <c r="P18" i="31"/>
  <c r="P10" i="31"/>
  <c r="F11" i="31"/>
  <c r="H11" i="31"/>
  <c r="E19" i="22"/>
  <c r="W5" i="39"/>
  <c r="Y5" i="39" s="1"/>
  <c r="D12" i="45"/>
  <c r="D17" i="45"/>
  <c r="B20" i="34"/>
  <c r="C20" i="34"/>
  <c r="S18" i="45" l="1"/>
  <c r="T18" i="45"/>
  <c r="E19" i="45"/>
  <c r="E17" i="45"/>
  <c r="S17" i="45" s="1"/>
  <c r="E16" i="45"/>
  <c r="E15" i="45"/>
  <c r="J20" i="45"/>
  <c r="E12" i="45"/>
  <c r="S12" i="45" s="1"/>
  <c r="E11" i="45"/>
  <c r="S11" i="45" s="1"/>
  <c r="M20" i="45"/>
  <c r="G20" i="45"/>
  <c r="S19" i="45"/>
  <c r="T19" i="45"/>
  <c r="S16" i="45"/>
  <c r="T16" i="45"/>
  <c r="S15" i="45"/>
  <c r="T15" i="45"/>
  <c r="S13" i="45"/>
  <c r="T13" i="45"/>
  <c r="E11" i="31"/>
  <c r="S11" i="31" s="1"/>
  <c r="L20" i="31"/>
  <c r="J20" i="31"/>
  <c r="H20" i="31"/>
  <c r="E13" i="31"/>
  <c r="S13" i="31" s="1"/>
  <c r="F20" i="31"/>
  <c r="E9" i="31"/>
  <c r="E15" i="31"/>
  <c r="S15" i="31" s="1"/>
  <c r="T17" i="45"/>
  <c r="E18" i="31"/>
  <c r="S18" i="31" s="1"/>
  <c r="W15" i="39"/>
  <c r="I20" i="31"/>
  <c r="E16" i="31"/>
  <c r="S16" i="31" s="1"/>
  <c r="P20" i="31"/>
  <c r="P20" i="45"/>
  <c r="H20" i="45"/>
  <c r="E10" i="45"/>
  <c r="E14" i="45"/>
  <c r="N20" i="31"/>
  <c r="E14" i="31"/>
  <c r="S14" i="31" s="1"/>
  <c r="E19" i="31"/>
  <c r="S19" i="31" s="1"/>
  <c r="E10" i="31"/>
  <c r="S10" i="31" s="1"/>
  <c r="K20" i="31"/>
  <c r="D20" i="45"/>
  <c r="T12" i="45"/>
  <c r="E17" i="31"/>
  <c r="S17" i="31" s="1"/>
  <c r="T11" i="45"/>
  <c r="O20" i="45"/>
  <c r="I20" i="45"/>
  <c r="M20" i="31"/>
  <c r="G20" i="31"/>
  <c r="O20" i="31"/>
  <c r="E12" i="31"/>
  <c r="S12" i="31" s="1"/>
  <c r="E9" i="45"/>
  <c r="E20" i="45" l="1"/>
  <c r="E31" i="45" s="1"/>
  <c r="S9" i="45"/>
  <c r="T9" i="45"/>
  <c r="S14" i="45"/>
  <c r="T14" i="45"/>
  <c r="E20" i="31"/>
  <c r="E31" i="31" s="1"/>
  <c r="S9" i="31"/>
  <c r="S10" i="45"/>
  <c r="T10" i="45"/>
  <c r="T20" i="45" l="1"/>
</calcChain>
</file>

<file path=xl/sharedStrings.xml><?xml version="1.0" encoding="utf-8"?>
<sst xmlns="http://schemas.openxmlformats.org/spreadsheetml/2006/main" count="1218" uniqueCount="467">
  <si>
    <t>เทศบาลตำบลอ่าวขนอม</t>
  </si>
  <si>
    <t>งบแสดงฐานะการเงิน</t>
  </si>
  <si>
    <t>ทรัพย์สิน</t>
  </si>
  <si>
    <t>ทรัพย์สินตามงบทรัพย์สิน (หมายเหตุ 1)</t>
  </si>
  <si>
    <t>เงินสด เงินฝากธนาคาร (หมายเหตุ 2)</t>
  </si>
  <si>
    <t>เงินฝาก - เงินทุนส่งเสริมกิจการเทศบาล (ก.ส.ท.)</t>
  </si>
  <si>
    <t>ลูกหนี้</t>
  </si>
  <si>
    <t xml:space="preserve"> - ภาษีโรงเรือนและที่ดิน</t>
  </si>
  <si>
    <t xml:space="preserve"> - ภาษีบำรุงท้องที่</t>
  </si>
  <si>
    <t>หนี้สินและเงินสะสม</t>
  </si>
  <si>
    <t>ทุนทรัพย์สิน (หมายเหตุ 1)</t>
  </si>
  <si>
    <t>เงินทุนสำรองเงินสะสม</t>
  </si>
  <si>
    <t>(นางจันทิรา พูนนวล)</t>
  </si>
  <si>
    <t>ผู้อำนวยการกองคลัง</t>
  </si>
  <si>
    <t>(ลงชื่อ)................................</t>
  </si>
  <si>
    <t>(ลงชื่อ)..................................</t>
  </si>
  <si>
    <t>ปลัดเทศบาล</t>
  </si>
  <si>
    <t xml:space="preserve"> </t>
  </si>
  <si>
    <t>หมายเหตุ ประกอบงบแสดงฐานะการเงิน</t>
  </si>
  <si>
    <t>เงินสด</t>
  </si>
  <si>
    <t>เงินฝากธนาคาร</t>
  </si>
  <si>
    <t>ประเภทออมทรัพย์</t>
  </si>
  <si>
    <t>กรุงไทย</t>
  </si>
  <si>
    <t>เลขที่ 813-1-19720-4</t>
  </si>
  <si>
    <t>เลขที่ 813-1-13443-1</t>
  </si>
  <si>
    <t>เลขที่ 813-0-05686-0</t>
  </si>
  <si>
    <t>เลขที่ 813-0-07595-4</t>
  </si>
  <si>
    <t>เลขที่ 813-0-07956-9</t>
  </si>
  <si>
    <t>ปรเภทประจำ</t>
  </si>
  <si>
    <t>เลขที่ 813-2-03128-8</t>
  </si>
  <si>
    <t>ธ.ก.ส.</t>
  </si>
  <si>
    <t>ออมสิน</t>
  </si>
  <si>
    <t>เลขที่ 300006351609</t>
  </si>
  <si>
    <t>เลขที่ 990-4-20413-4</t>
  </si>
  <si>
    <t>ภาษีหัก ณ ที่จ่าย</t>
  </si>
  <si>
    <t>เงินประกันสัญญา</t>
  </si>
  <si>
    <t>รวม</t>
  </si>
  <si>
    <t>งบเงินสะสม</t>
  </si>
  <si>
    <t>บวก</t>
  </si>
  <si>
    <t>รายรับจริงสูงกว่ารายจ่ายจริง</t>
  </si>
  <si>
    <t>รายจ่ายค้างจ่ายคงเหลือ</t>
  </si>
  <si>
    <t>เงินอุดหนุนเฉพาะกิจค้างจ่ายคงเหลือ</t>
  </si>
  <si>
    <t>หัก</t>
  </si>
  <si>
    <t>รายจ่ายค้างจ่าย</t>
  </si>
  <si>
    <t>ที่</t>
  </si>
  <si>
    <t>หมวด/ประเภท</t>
  </si>
  <si>
    <t>จำนวนเงิน</t>
  </si>
  <si>
    <t>ก่อหนี้ผูกพัน</t>
  </si>
  <si>
    <t>ไม่ก่อหนี้ผูกพัน</t>
  </si>
  <si>
    <t>เบิกจ่ายแล้ว</t>
  </si>
  <si>
    <t>คงเหลือ</t>
  </si>
  <si>
    <t>หมายเหตุ</t>
  </si>
  <si>
    <t>รอจ่าย</t>
  </si>
  <si>
    <t>หมวดเงินเดือน(ฝ่ายประจำ)</t>
  </si>
  <si>
    <t>รวมหมวดเงินเดือน(ฝ่ายประจำ)</t>
  </si>
  <si>
    <t>หมวดค่าใช้สอย</t>
  </si>
  <si>
    <t>ค่าเช่าสถานีวิทยุคลื่นขนอม</t>
  </si>
  <si>
    <t>รวมหมวดค่าใช้สอย</t>
  </si>
  <si>
    <t>หมวดค่าวัสดุ</t>
  </si>
  <si>
    <t>ค่าอาหารเสริม (นม)</t>
  </si>
  <si>
    <t>รวมหมวดค่าวัสดุ</t>
  </si>
  <si>
    <t>หมวดค่าที่ดินและสิ่งก่อสร้าง</t>
  </si>
  <si>
    <t>รวมหมวดค่าที่ดินและสิ่งก่อสร้าง</t>
  </si>
  <si>
    <t>รวมทั้งสิ้น</t>
  </si>
  <si>
    <t>รายงานการประชุมสภาเทศบาลตำบลอ่าวขนอม</t>
  </si>
  <si>
    <t>เงินรับฝากต่าง ๆ (หมายเหตุ 3)</t>
  </si>
  <si>
    <t xml:space="preserve">   (ลงชื่อ)........................................</t>
  </si>
  <si>
    <t xml:space="preserve">      (นายไมตรี พรหมพิชิต)</t>
  </si>
  <si>
    <t xml:space="preserve">     นายกเทศมนตรีตำบลอ่าวขนอม</t>
  </si>
  <si>
    <t>(นายธวัชชัย ไชยเทพ)</t>
  </si>
  <si>
    <t>อำเภอขนอม  จังหวัดนครศรีธรรมราช</t>
  </si>
  <si>
    <t>หมายเหตุ 1</t>
  </si>
  <si>
    <t>อำเภอขนอม จังหวัดนครศรีธรรมราช</t>
  </si>
  <si>
    <t>เงินรับฝากต่าง ๆ  (หมายเหตุ 3)</t>
  </si>
  <si>
    <t>ลูกหนี้ภาษีโรงเรือนและที่ดินเพิ่มขึ้น</t>
  </si>
  <si>
    <t>รายงานรายจ่ายในการดำเนินงานที่จ่ายจากเงินรายรับตามแผนงาน งานบริหารงานทั่วไป</t>
  </si>
  <si>
    <t>รายการ</t>
  </si>
  <si>
    <t>ประมาณการ</t>
  </si>
  <si>
    <t>โอนงบประมาณ โอนเพิ่ม,ลด</t>
  </si>
  <si>
    <t>บริหารงานทั่วไป</t>
  </si>
  <si>
    <t>บริหารงานคลัง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</si>
  <si>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</si>
  <si>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</si>
  <si>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</si>
  <si>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</si>
  <si>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</si>
  <si>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</si>
  <si>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</si>
  <si>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</si>
  <si>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</si>
  <si>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</si>
  <si>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</si>
  <si>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รายจ่ายอื่น ๆ</t>
  </si>
  <si>
    <t>รายจ่ายรอจ่าย</t>
  </si>
  <si>
    <t>รายจ่ายค้างจ่าย (หมายเหตุ 4)</t>
  </si>
  <si>
    <t>รายจ่ายรอจ่าย (หมายเหตุ 5)</t>
  </si>
  <si>
    <t>เงินสะสม (หมายเหตุ 6)</t>
  </si>
  <si>
    <t xml:space="preserve"> -</t>
  </si>
  <si>
    <t xml:space="preserve">เงินรับฝากอื่น ๆ </t>
  </si>
  <si>
    <t>(หมายเหตุ 4)</t>
  </si>
  <si>
    <t xml:space="preserve"> - เงินอุดหนุนเฉพาะกิจ (เบี้ยยังชีพคนพิการ) รอนำส่ง จว.</t>
  </si>
  <si>
    <t xml:space="preserve"> - เงินอุดหนุนเฉพาะกิจ (เบี้ยยังชีพผู้สูงอายุ) รอนำส่ง จว.</t>
  </si>
  <si>
    <t>รายงานรายจ่ายที่ได้รับอนุมัติให้จ่ายขาดเงินสะสม</t>
  </si>
  <si>
    <t>หน่วย : บาท</t>
  </si>
  <si>
    <t>วันที่</t>
  </si>
  <si>
    <t>จำนวนเงินที่ได้รับอนุมัติ</t>
  </si>
  <si>
    <t>คงเหลือเบิกจ่าย</t>
  </si>
  <si>
    <t>ยังไม่ได้ก่อหนี้</t>
  </si>
  <si>
    <t>ได้รับอนุมัติ</t>
  </si>
  <si>
    <t>จ่ายขาด</t>
  </si>
  <si>
    <t>-</t>
  </si>
  <si>
    <t>เทศบาลตำบลอ่าวขนอม อำเภอขนอม จังหวัดนครศรีธรรมราช</t>
  </si>
  <si>
    <t>รักษาความสงบภายใน</t>
  </si>
  <si>
    <t>การศีกษา</t>
  </si>
  <si>
    <t>สาธารณสุข</t>
  </si>
  <si>
    <t>สังคมสงเคราะห์</t>
  </si>
  <si>
    <t>เคหะและชุมชน</t>
  </si>
  <si>
    <t>สร้างความเข้มแข็งของชุมชน</t>
  </si>
  <si>
    <t>การศาสนาวัฒนธรรมและนันทนาการ</t>
  </si>
  <si>
    <t>การเกษตร</t>
  </si>
  <si>
    <t>การพาณิชย์</t>
  </si>
  <si>
    <t>00121</t>
  </si>
  <si>
    <t>00212</t>
  </si>
  <si>
    <t>00221</t>
  </si>
  <si>
    <t>00232</t>
  </si>
  <si>
    <t>00241</t>
  </si>
  <si>
    <t>00252</t>
  </si>
  <si>
    <t>00263</t>
  </si>
  <si>
    <t>00321</t>
  </si>
  <si>
    <t>00332</t>
  </si>
  <si>
    <t>00411</t>
  </si>
  <si>
    <t>รายรับ</t>
  </si>
  <si>
    <t>รวมรายรับ</t>
  </si>
  <si>
    <t>รายรับสูงกว่าหรือ (ต่ำกว่า)รายจ่าย</t>
  </si>
  <si>
    <r>
      <t xml:space="preserve">งบกลาง </t>
    </r>
    <r>
      <rPr>
        <b/>
        <sz val="12"/>
        <rFont val="TH SarabunPSK"/>
        <family val="2"/>
      </rPr>
      <t>(หมายเหตุ 1)</t>
    </r>
  </si>
  <si>
    <t>งานบริหารทั่วไปเกี่ยวกับเคหะและชุมชน</t>
  </si>
  <si>
    <t>งานไฟฟ้าถนน</t>
  </si>
  <si>
    <t>1. ลูกหนี้ค่าภาษี</t>
  </si>
  <si>
    <t>2. เงินสะสมที่สามารถนำไปใช้ได้</t>
  </si>
  <si>
    <r>
      <t>หมายเหตุ</t>
    </r>
    <r>
      <rPr>
        <sz val="16"/>
        <rFont val="TH SarabunPSK"/>
        <family val="2"/>
      </rPr>
      <t xml:space="preserve"> ประกอบงบแสดงผลการดำเนินงาน</t>
    </r>
  </si>
  <si>
    <t>จ่ายจากเงินรายรับ</t>
  </si>
  <si>
    <t>จ่ายจากเงินอุดหนุนเฉพาะกิจ</t>
  </si>
  <si>
    <t>หมายเหตุ 2</t>
  </si>
  <si>
    <t>หมายเหตุ 3</t>
  </si>
  <si>
    <r>
      <t>เงินเดือน (ฝ่ายประจำ)</t>
    </r>
    <r>
      <rPr>
        <b/>
        <sz val="14"/>
        <rFont val="TH SarabunPSK"/>
        <family val="2"/>
      </rPr>
      <t xml:space="preserve"> </t>
    </r>
    <r>
      <rPr>
        <b/>
        <sz val="12"/>
        <rFont val="TH SarabunPSK"/>
        <family val="2"/>
      </rPr>
      <t>(หมายเหตุ 2)</t>
    </r>
  </si>
  <si>
    <t>งบแสดงผลการดำเนินงานจ่ายจากเงินรายรับ (เงินอุดหนุนเฉพาะกิจ)</t>
  </si>
  <si>
    <t>เงินทุนการศึกษาครูศูนย์เด็ก</t>
  </si>
  <si>
    <t>เบี้ยยังชีพคนพิการ</t>
  </si>
  <si>
    <t>สนันสนุนศูนย์พัฒนาเด็กเล็ก-ประกันสังคม</t>
  </si>
  <si>
    <t>สนันสนุนศูนย์พัฒนาเด็กเล็ก-เงินเดือน</t>
  </si>
  <si>
    <t>สนันสนุนศูนย์พัฒนาเด็กเล็ก-วัสดุการศึกษา</t>
  </si>
  <si>
    <t>เบี้ยยังชีพคนชรา</t>
  </si>
  <si>
    <t>เงินอุดหนุนศูนย์พัฒนาครอบครัวในชุมชน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</si>
  <si>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</si>
  <si>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</si>
  <si>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</si>
  <si>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รายงานรายจ่ายในการดำเนินงานที่จ่ายจากเงินรายรับตามแผนงาน การศึกษา</t>
  </si>
  <si>
    <t>ระดับก่อนวันเรียนและประถมศึกษา</t>
  </si>
  <si>
    <t>รายงานรายจ่ายในการดำเนินงานที่จ่ายจากเงินรายรับตามแผนงาน สาธารณสุข</t>
  </si>
  <si>
    <t>งานบริหารทั่วไปเกี่ยวกับสาธารณสุข</t>
  </si>
  <si>
    <t>รวมรายจ่าย</t>
  </si>
  <si>
    <t>รายงานรายจ่ายในการดำเนินงานที่จ่ายจากเงินรายรับตามแผนงาน สังคมสงเคราะห์</t>
  </si>
  <si>
    <t>งานสวัสดิการสังคมและสังคมสงเคราะห์</t>
  </si>
  <si>
    <t>รายงานรายจ่ายในการดำเนินงานที่จ่ายจากเงินรายรับตามแผนงาน เคหะและชุมชน</t>
  </si>
  <si>
    <t>งานกำจัดขยะมูลฝอยและสิ่งปฏิกูล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</si>
  <si>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</si>
  <si>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งานส่งเสริมและสนับสนุนความเข้มแข็งชุมชน</t>
  </si>
  <si>
    <t>รายงานรายจ่ายในการดำเนินงานที่จ่ายจากเงินรายรับตามแผนงาน การศาสนา วัฒนธรรมและนันทนาการ</t>
  </si>
  <si>
    <t>งานกีฬาและนันทนาการ</t>
  </si>
  <si>
    <t>งานศาสนาวัฒนธรรมท้องถิ่น</t>
  </si>
  <si>
    <t>รายงานรายจ่ายในการดำเนินงานที่จ่ายจากเงินรายรับตามแผนงาน การเกษตร</t>
  </si>
  <si>
    <t>งานส่งเสริมการเกษตร</t>
  </si>
  <si>
    <t>รายงานรายจ่ายในการดำเนินงานที่จ่ายจากเงินรายรับตามแผนงาน การพาณิชย์</t>
  </si>
  <si>
    <t>งานตลาดสด</t>
  </si>
  <si>
    <t>รายงานรายจ่ายในการดำเนินงานที่จ่ายจากเงินรายรับตามแผนงาน งบกลาง</t>
  </si>
  <si>
    <t>งบแสดงผลการดำเนินงานจ่ายจากเงินรายรับ</t>
  </si>
  <si>
    <t>ภาษีอากร (จัดเก็บเอง)</t>
  </si>
  <si>
    <t>ภาษีอากร (จัดสรร)</t>
  </si>
  <si>
    <t>ค่าธรรมเนียมค่าปรับและใบอนุญาต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</si>
  <si>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</si>
  <si>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</si>
  <si>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</si>
  <si>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เงินอุดหนุนทั่วไป</t>
  </si>
  <si>
    <t>เทศบาลตำบลอ่าวขนอม  อำเภอขนอม  จังหวัดนครศรีธรรมราช</t>
  </si>
  <si>
    <t>รหัสบัญชี</t>
  </si>
  <si>
    <t>เดบิท</t>
  </si>
  <si>
    <t>เครดิต</t>
  </si>
  <si>
    <t>ลูกหนี้เงินยืมเงินสะสม</t>
  </si>
  <si>
    <t>ลูกหนี้เงินยืมเงินงบประมาณ</t>
  </si>
  <si>
    <t>510000</t>
  </si>
  <si>
    <t>521000</t>
  </si>
  <si>
    <t>522000</t>
  </si>
  <si>
    <t>531000</t>
  </si>
  <si>
    <t>532000</t>
  </si>
  <si>
    <t>533000</t>
  </si>
  <si>
    <t xml:space="preserve">                                                   ยอดยกไป</t>
  </si>
  <si>
    <t xml:space="preserve">                                                  ยอดยกมา</t>
  </si>
  <si>
    <t>(นางนาฏยา  ปราชญ์ศักดิ์)</t>
  </si>
  <si>
    <t>นักวิชาการเงินและบัญชี</t>
  </si>
  <si>
    <t>(ลงชื่อ)........................................ ผู้จัดทำ</t>
  </si>
  <si>
    <t xml:space="preserve">                                           (หมายเหตุ 5)</t>
  </si>
  <si>
    <t>(หมายเหตุ 6)</t>
  </si>
  <si>
    <t>เงินอุดหนุนเฉพาะกิจ</t>
  </si>
  <si>
    <t>รายได้จากทุน</t>
  </si>
  <si>
    <t>ณ  วันที่  30 กันยายน  2556</t>
  </si>
  <si>
    <t>บัญชีเงินสด</t>
  </si>
  <si>
    <t>บัญชีเงินฝากธนาคารกรุงไทย  เลขที่ 813-1-13443-1</t>
  </si>
  <si>
    <t>บัญชีเงินฝากธนาคารกรุงไทย  เลขที่ 813-1-19720-4</t>
  </si>
  <si>
    <t>บัญชีเงินฝากธนาคารกรุงไทย  เลขที่ 813-6-01622-4</t>
  </si>
  <si>
    <t>021</t>
  </si>
  <si>
    <t>บัญชีเงินฝากธนาคารกรุงไทย  เลขที่ 813-2-03128-8</t>
  </si>
  <si>
    <t>บัญชีเงินฝากธนาคารกรุงไทย  เลขที่ 813-0-05686-0</t>
  </si>
  <si>
    <t>บัญชีเงินฝากธนาคารกรุงไทย  เลขที่ 813-0-07595-4</t>
  </si>
  <si>
    <t>บัญชีเงินฝากธนาคารกรุงไทย  เลขที่ 813-0-07956-9</t>
  </si>
  <si>
    <t>บัญชีเงินฝาก  ธ.ก.ส. เลขที่ 990-4-20413-4</t>
  </si>
  <si>
    <t>บัญชีเงินฝาก ธนาคารออมสิน เลขที่ 300006351609</t>
  </si>
  <si>
    <t>เฉพาะกิจ</t>
  </si>
  <si>
    <t>เงินสนับสนุน ศพด.</t>
  </si>
  <si>
    <t>Cr ลูกหนี้เงินยืมเงินงบฯ</t>
  </si>
  <si>
    <t xml:space="preserve">  Dr  ค่าใช้สอย</t>
  </si>
  <si>
    <t>Dr.งบกลาง</t>
  </si>
  <si>
    <t>ลูกหนึ้ภาษีโรงเรือนและที่ดิน</t>
  </si>
  <si>
    <t>ลูกหนี้ภาษีบำรุงท้องที่</t>
  </si>
  <si>
    <t>เงินฝาก ก.ส.ท.</t>
  </si>
  <si>
    <t>งบกลาง (เงินอุดหนุนเฉพาะกิจ)</t>
  </si>
  <si>
    <t xml:space="preserve"> - เบี้ยยังชีพคนชรา </t>
  </si>
  <si>
    <t xml:space="preserve"> - เบี้ยยังชีพคนพิการ </t>
  </si>
  <si>
    <t xml:space="preserve"> - โครงการปัญหายาเสพติด</t>
  </si>
  <si>
    <t xml:space="preserve"> - เงินทุนการศึกษา ครู ศพด.</t>
  </si>
  <si>
    <t xml:space="preserve"> - ประกันสังคม (เงินอุดหนุนเฉพาะกิจ)</t>
  </si>
  <si>
    <t>เงินเดือน(ฝ่ายการเมือง)</t>
  </si>
  <si>
    <t>เงินเดือน(ฝ่ายประจำ)</t>
  </si>
  <si>
    <t>เงินเดือน(ฝ่ายประจำ)(เงินอุดหนุนเฉพาะกิจ)</t>
  </si>
  <si>
    <t>ค่าตอบแทน(เงินอุดหนุนเฉพาะกิจ)</t>
  </si>
  <si>
    <t>ค่าใช้สอย (เงินอุดหนุนเฉพาะกิจ)</t>
  </si>
  <si>
    <t>ค่าตอบแทนวิทยากร เงินอุดหนุนพัฒนาครอบครัวในชุม</t>
  </si>
  <si>
    <t>ค่าวัสดุ(เงินอุดหนุนเฉพาะกิจ)</t>
  </si>
  <si>
    <t>534000</t>
  </si>
  <si>
    <t>541000</t>
  </si>
  <si>
    <t>ค่าครุภัณฑ์ (เงินอุดหนุนเฉพาะกิจ)</t>
  </si>
  <si>
    <t>542000</t>
  </si>
  <si>
    <t>รายจ่ายอื่น (ค่าจ้างที่ปรึกษา วิจัย ประเมินผล)</t>
  </si>
  <si>
    <t>551000</t>
  </si>
  <si>
    <t>เงินอุดหนุนส่วนราชการ</t>
  </si>
  <si>
    <t>560000</t>
  </si>
  <si>
    <t xml:space="preserve">                     รายจ่ายค้างจ่าย (หมายเหตุ 3)</t>
  </si>
  <si>
    <t xml:space="preserve">                     เงินสะสม</t>
  </si>
  <si>
    <t xml:space="preserve">                     เงินทุนสำรองเงินสะสม</t>
  </si>
  <si>
    <t xml:space="preserve">                     เงินรายรับ</t>
  </si>
  <si>
    <t xml:space="preserve">                     เงินอุดหนุนเฉพาะกิจ(สำหรับสนับสนุน ศพด.)</t>
  </si>
  <si>
    <t xml:space="preserve">                     เงินอุดหนุนเฉพาะกิจ(เงินทุนการศึกษาศูนย์เด็ก)</t>
  </si>
  <si>
    <t xml:space="preserve">                     เงินอุดหนุนเฉพาะกิจ(วัสดุการศึกษา ศพด.)</t>
  </si>
  <si>
    <t xml:space="preserve">                     เงินอุดหนุนเฉพาะกิจ(ค่าครุภัณฑ์คอมพิวเตอร์)</t>
  </si>
  <si>
    <t xml:space="preserve">                     เงินอุดหนุนเฉพาะกิจ(เบี้ยยังชีพคนพิการ)</t>
  </si>
  <si>
    <t xml:space="preserve">                     เงินอุดหนุนเฉพาะกิจ(เบี้ยยังชีพผู้สูงอายุ)</t>
  </si>
  <si>
    <t xml:space="preserve">                     เงินอุดหนุนสำหรับพัฒนาครอบครัวและชุมชน</t>
  </si>
  <si>
    <t xml:space="preserve">                     เงินอุดหนุนเฉพาะกิจ(โครงการแก้ปัญหายาเสพติด)</t>
  </si>
  <si>
    <t xml:space="preserve">                     เงินรับฝาก (หมายเหตุ 2)</t>
  </si>
  <si>
    <t xml:space="preserve">              ตรวจสอบแล้วถูกต้อง                       ตรวจสอบแล้วถูกต้อง                            </t>
  </si>
  <si>
    <t>ตรวจสอบแล้วถูกต้อง</t>
  </si>
  <si>
    <t xml:space="preserve">              (นางจันทิรา  พูนนวล)                     (นายธวัชชัย  ไชยเทพ)                             </t>
  </si>
  <si>
    <t>(นายไมตรี  พรหมพิชิต)</t>
  </si>
  <si>
    <t xml:space="preserve">               ผู้อำนวยการกองคลัง                           ปลัดเทศบาล                </t>
  </si>
  <si>
    <t>นายกเทศมนตรีตำบลอ่าวขนอม</t>
  </si>
  <si>
    <t>เงินโครงการเศรษฐกิจชุมชน</t>
  </si>
  <si>
    <t>ณ วันที่ 30 กันยายน 2556</t>
  </si>
  <si>
    <t>เงินสะสม 1 ตุลาคม 2556</t>
  </si>
  <si>
    <t>ปรับปรุงเงินรับฝาก คชจ.ในการจัดเก็บภาษีฯ 5%</t>
  </si>
  <si>
    <t>ปรับปรุงเงินรับฝาก-ประกันสัญญา</t>
  </si>
  <si>
    <t>ลูกหนี้ภาษีบำรุงท้องที่เพิ่มขึ้น</t>
  </si>
  <si>
    <t>วันที่ 1 ตุลาคม 2555 ถึง 30  กันยายน 2556</t>
  </si>
  <si>
    <t>ครุภัณฑ์</t>
  </si>
  <si>
    <t>ครุภัณฑ์ยานพาหนะและขนส่ง</t>
  </si>
  <si>
    <t>27 ก.พ. 56</t>
  </si>
  <si>
    <t>รถบรรทุกขยะ</t>
  </si>
  <si>
    <t>มติประชุม สมัยสามัญ</t>
  </si>
  <si>
    <t>สมัยที่ 1/2556 ครั้งที่ 2 วันที่ 27 กุมภาพันธ์ 2556</t>
  </si>
  <si>
    <t>เตาเผาขยะระบบควบคุมอากาศ จำนวน 2 เตา</t>
  </si>
  <si>
    <t>ตั้งแต่วันที่  1 ตุลาคม 2555  ถึง  30  กันยายน  2556</t>
  </si>
  <si>
    <t>ค่าครุภัณฑ์คอมพิวเตอร์ ศพด.</t>
  </si>
  <si>
    <t>เงินอุดหนุนโครงการแก้ปัญหายาเสพติด</t>
  </si>
  <si>
    <t>สนันสนุนศูนย์พัฒนาเด็กเล็ก-เงินสวัสดิการ</t>
  </si>
  <si>
    <t>หมายเหตุ 4</t>
  </si>
  <si>
    <t>หมายเหตุ 5</t>
  </si>
  <si>
    <t xml:space="preserve">ภาษีอากร (จัดเก็บเอง) </t>
  </si>
  <si>
    <t>ตั้งแต่วันที่  1  ตุลาคม 2555  ถึง  30  กันยายน  2556</t>
  </si>
  <si>
    <t>ตั้งแต่วันที่ 1  ตุลาคม 2555  ถึง  30  กันยายน  2556</t>
  </si>
  <si>
    <t>งบทดลอง</t>
  </si>
  <si>
    <t>dip</t>
  </si>
  <si>
    <t>คลัง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</si>
  <si>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</si>
  <si>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</si>
  <si>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</si>
  <si>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</si>
  <si>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</si>
  <si>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</si>
  <si>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</si>
  <si>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</si>
  <si>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</si>
  <si>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</si>
  <si>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</si>
  <si>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</si>
  <si>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บริหารงานทั่งไป</t>
  </si>
  <si>
    <t>รักษาความสงบ</t>
  </si>
  <si>
    <t>ศึกษา</t>
  </si>
  <si>
    <t>เคหะ</t>
  </si>
  <si>
    <t>ขยะ</t>
  </si>
  <si>
    <t>เกษตร</t>
  </si>
  <si>
    <t>รอจ่าย เงินประจำตำแหน่ง</t>
  </si>
  <si>
    <t xml:space="preserve"> + เพิ่ม 11027</t>
  </si>
  <si>
    <t>การศึกษา</t>
  </si>
  <si>
    <t>เข้มแข็ง</t>
  </si>
  <si>
    <t>ศาสนา</t>
  </si>
  <si>
    <t>บท</t>
  </si>
  <si>
    <t>พาณิชย์</t>
  </si>
  <si>
    <t>รักษาความฯ</t>
  </si>
  <si>
    <t>ค่าเช่าบ้าน</t>
  </si>
  <si>
    <t>โยธา</t>
  </si>
  <si>
    <t>ok</t>
  </si>
  <si>
    <t>ศีกษา</t>
  </si>
  <si>
    <t>รวมม</t>
  </si>
  <si>
    <t>ค่าใช้สอยงานเคาว์ดาว</t>
  </si>
  <si>
    <t>00113</t>
  </si>
  <si>
    <t>00244</t>
  </si>
  <si>
    <t>00111</t>
  </si>
  <si>
    <t xml:space="preserve"> + บริหารงานทั่วไป</t>
  </si>
  <si>
    <r>
      <t xml:space="preserve">ค่าตอบแทน </t>
    </r>
    <r>
      <rPr>
        <b/>
        <sz val="14"/>
        <rFont val="TH SarabunPSK"/>
        <family val="2"/>
      </rPr>
      <t>(หมายเหตุ 3)</t>
    </r>
  </si>
  <si>
    <r>
      <t>ค่าใช้สอย</t>
    </r>
    <r>
      <rPr>
        <b/>
        <sz val="12"/>
        <rFont val="TH SarabunPSK"/>
        <family val="2"/>
      </rPr>
      <t xml:space="preserve"> (หมายเหตุ 4)</t>
    </r>
  </si>
  <si>
    <r>
      <t>ค่าวัสดุ</t>
    </r>
    <r>
      <rPr>
        <b/>
        <sz val="12"/>
        <rFont val="TH SarabunPSK"/>
        <family val="2"/>
      </rPr>
      <t xml:space="preserve"> (หมายเหตุ 5)</t>
    </r>
  </si>
  <si>
    <r>
      <t xml:space="preserve">ค่าครุภัณฑ์ </t>
    </r>
    <r>
      <rPr>
        <b/>
        <sz val="14"/>
        <rFont val="TH SarabunPSK"/>
        <family val="2"/>
      </rPr>
      <t>(หมายเหตุ 6)</t>
    </r>
  </si>
  <si>
    <t>งบทดลอง (ก่อนปิดบัญชี)</t>
  </si>
  <si>
    <t>งบทดลอง (หลังปิดบัญชี)</t>
  </si>
  <si>
    <t xml:space="preserve">                 เงินสะสม</t>
  </si>
  <si>
    <t xml:space="preserve">                 เงินทุนสำรองเงินสะสม</t>
  </si>
  <si>
    <t xml:space="preserve">                 เงินรับฝาก</t>
  </si>
  <si>
    <t xml:space="preserve">                 เงินรับฝาก - เงินโครงการเศรษฐกิจชุมชน</t>
  </si>
  <si>
    <t xml:space="preserve">                 เงินรับฝาก - เงินอุดหนุนเฉพาะกิจ(รอนำส่งจังหวัด)</t>
  </si>
  <si>
    <t>รับคืนเงิน (ค่าอาหารกลางวันปีก่อน)</t>
  </si>
  <si>
    <t>2. เงินฝาก ก.ส.ท.</t>
  </si>
  <si>
    <t xml:space="preserve">ครุภัณฑ์อื่น </t>
  </si>
  <si>
    <t>ตั้งแต่วันที่  1  ตุลาคม 255  ถึง  30  กันยายน  2556</t>
  </si>
  <si>
    <t>เพียง ณ วันที่ 30 กันยายน 2556</t>
  </si>
  <si>
    <t>ปีงบประมาณ 2556</t>
  </si>
  <si>
    <t>สมัยที่ 1/2556 ครั้งที่ 1 ลว. 23 กันยายน 2556</t>
  </si>
  <si>
    <t>โครงการก่อสร้างปรับปรุงห้องน้ำสาธารณะ</t>
  </si>
  <si>
    <t>เป็นศูนย์ช่วยเหลือนักท่องเที่ยว หมู่ที่ 2</t>
  </si>
  <si>
    <t xml:space="preserve">โครงการขยายเขตจำหน่ายประปา </t>
  </si>
  <si>
    <t>ซอยตาลคู่ หมู่ที่ 2</t>
  </si>
  <si>
    <t>โครงการก่อสร้างอาคารโรงเรือนเตาเผาขยะ</t>
  </si>
  <si>
    <t>หมู่ที่ 12</t>
  </si>
  <si>
    <t>เงินประจำตำแหน่ง</t>
  </si>
  <si>
    <t>บันทึกกองคลัง ที่ นศ 55502/043</t>
  </si>
  <si>
    <t>ลว. 30 กันยายน 2556</t>
  </si>
  <si>
    <t>เป็นกรณีพิเศษ (เงินรางวัลประจำปี)</t>
  </si>
  <si>
    <t>รวมหมวดค่าตอบแทน</t>
  </si>
  <si>
    <t>ค่าตอบแทนผู้ปฏิบัติราชการอันเป็นประโยชน์</t>
  </si>
  <si>
    <t>แก่องค์กรปกครองส่วนท้องถิ่น</t>
  </si>
  <si>
    <t xml:space="preserve"> - เงินประโยชน์ตอนแทนอื่นสำหรับ</t>
  </si>
  <si>
    <t>พนักงานเทศบาล ลูกจ้างประจำ พนักงานจ้าง</t>
  </si>
  <si>
    <t>หมายเหตุ 6</t>
  </si>
  <si>
    <t>ตั้งแต่วันที่  1 ตุลาคม  2555  ถึง  30  กันยายน  2556</t>
  </si>
  <si>
    <t>(หมายเหตุ  1)</t>
  </si>
  <si>
    <t>งบทรัพย์สิน</t>
  </si>
  <si>
    <t>ณ  วันที่   30  กันยายน 2556</t>
  </si>
  <si>
    <t>ประเภททรัพย์สิน</t>
  </si>
  <si>
    <t>ราคาทรัพย์สิน</t>
  </si>
  <si>
    <t>แหล่งที่มาของทรัพย์สิน</t>
  </si>
  <si>
    <t>ชื่อ</t>
  </si>
  <si>
    <t>ก.   อสังหาริมทรัพย์</t>
  </si>
  <si>
    <t xml:space="preserve">       1.  ที่ดิน</t>
  </si>
  <si>
    <t>ก.  รายได้เทศบาล</t>
  </si>
  <si>
    <t xml:space="preserve">       2.  อาคาร</t>
  </si>
  <si>
    <t>ข.  เงินอุดหนุนจากรัฐบาล</t>
  </si>
  <si>
    <t xml:space="preserve">       3.  โฆษณาและเผยแพร่</t>
  </si>
  <si>
    <t>ค.  เงินบริจาค</t>
  </si>
  <si>
    <t xml:space="preserve">       4.  คมนาคม</t>
  </si>
  <si>
    <t>ง.  เงินกู้เพื่อกระตุ้นเศรษฐกิจปี 2542</t>
  </si>
  <si>
    <t xml:space="preserve">       5.  สาธารณะ</t>
  </si>
  <si>
    <t>จ. เงินอุดหนุนของเทศบาลท้องเนียน</t>
  </si>
  <si>
    <t xml:space="preserve">       6.  ทั่วไป</t>
  </si>
  <si>
    <t>ฉ. เงินอุดหนุนอบต.ควนทอง</t>
  </si>
  <si>
    <t>ข.   สังหาริมทรัพย์</t>
  </si>
  <si>
    <t>ช. เงินอุดหนุนเฉพาะกิจ</t>
  </si>
  <si>
    <t xml:space="preserve">       1.  ครุภัณฑ์สำนักงาน</t>
  </si>
  <si>
    <t xml:space="preserve">       2.  ครุภัณฑ์ยานพาหนะและขนส่ง</t>
  </si>
  <si>
    <t xml:space="preserve">       3.  ครุภัณฑ์โฆษณาและเผยแพร่</t>
  </si>
  <si>
    <t xml:space="preserve">       4.  ครุภัณฑ์งานบ้านงานครัว</t>
  </si>
  <si>
    <t xml:space="preserve">       5.  ครุภัณฑ์การเกษตร</t>
  </si>
  <si>
    <t xml:space="preserve">       6.  ครุภัณฑ์คมนาคม</t>
  </si>
  <si>
    <t xml:space="preserve">       7.  ครุภัณฑ์โยธา</t>
  </si>
  <si>
    <t xml:space="preserve">       8.  ครุภัณฑ์โรงงาน</t>
  </si>
  <si>
    <t xml:space="preserve">       9.  ครุภัณฑ์การศึกษา</t>
  </si>
  <si>
    <t xml:space="preserve">      10. ครุภัณฑ์คอมพิวเตอร์</t>
  </si>
  <si>
    <t xml:space="preserve">      11. ครุภัณฑ์ไฟฟ้าและวิทยุ</t>
  </si>
  <si>
    <t xml:space="preserve"> ………………………………….                    …………………………………               ………………………………….</t>
  </si>
  <si>
    <t xml:space="preserve">    ผู้อำนวยการกองคลัง</t>
  </si>
  <si>
    <t>ปลัดเทศบาลตำบลอ่าวขนอม         นายกเทศมนตรีตำบลอ่าวขนอม</t>
  </si>
  <si>
    <t>เทศบาลตำบลขนอม</t>
  </si>
  <si>
    <t>ณ  วันที่   30  กันยายน  2548</t>
  </si>
  <si>
    <t>ณ วันที่ 30 ก.ย.2548</t>
  </si>
  <si>
    <t xml:space="preserve">       2.  โรงเก็บรถยนต์</t>
  </si>
  <si>
    <t>ข.  รับจากกรมการปกครอง</t>
  </si>
  <si>
    <t xml:space="preserve">       3.  ตลาด</t>
  </si>
  <si>
    <t>ค.  เงินอุดหนุนจากรัฐบาล</t>
  </si>
  <si>
    <t xml:space="preserve">       4. สะพานท่าเทียบเรือ</t>
  </si>
  <si>
    <t>ง.  เงินที่มีผู้อุทิศให้</t>
  </si>
  <si>
    <t xml:space="preserve">       5.  อาคาร</t>
  </si>
  <si>
    <t>จ. เงินสะสมเทศบาล</t>
  </si>
  <si>
    <t xml:space="preserve">       6.  เครื่องสัญญาณเสียง</t>
  </si>
  <si>
    <t xml:space="preserve">       7. ลานกีฬา</t>
  </si>
  <si>
    <t xml:space="preserve">       1.  ครุภัณฑ์ยานพาหนะและขนส่ง</t>
  </si>
  <si>
    <t xml:space="preserve">       2.  เครื่องมือเครื่องใช้และอุปกรณ์</t>
  </si>
  <si>
    <t xml:space="preserve">            ก.  ในการดับเพลิง</t>
  </si>
  <si>
    <t xml:space="preserve">            ข.  ในการสาธารณสุข</t>
  </si>
  <si>
    <t xml:space="preserve">            ค.  ในการประชาสัมพันธ์</t>
  </si>
  <si>
    <t xml:space="preserve">            ง. ในการสำรวจ</t>
  </si>
  <si>
    <t xml:space="preserve">            จ.  ในการจราจร</t>
  </si>
  <si>
    <t xml:space="preserve">            ฉ. อื่น ๆ</t>
  </si>
  <si>
    <t xml:space="preserve">       3.  เครื่องใช้สำนักงาน</t>
  </si>
  <si>
    <t>ณ  วันที่   30  กันยายน  2550</t>
  </si>
  <si>
    <t>ณ วันที่ 30 ก.ย.2550</t>
  </si>
  <si>
    <t xml:space="preserve">       7.ป้ายชื่อสำนักงาน</t>
  </si>
  <si>
    <t xml:space="preserve">            จ. อื่น ๆ</t>
  </si>
  <si>
    <t xml:space="preserve">       3. ครุภัณฑ์เครื่องใช้สำนักงาน</t>
  </si>
  <si>
    <t xml:space="preserve">      4.  ครุภัณฑ์โฆษณาและเผยแพร่</t>
  </si>
  <si>
    <t xml:space="preserve">      5. ครุภัณฑ์ไฟฟ้าและวิทยุ</t>
  </si>
  <si>
    <t xml:space="preserve">      6. ครุภัณฑ์คอมพิวเตอร์</t>
  </si>
  <si>
    <t xml:space="preserve">      7. ครุภัณฑ์วิทยาศาสตร์และการแพทย์</t>
  </si>
  <si>
    <t xml:space="preserve">      8. ครุภัณฑ์งานบ้านงานครัว</t>
  </si>
  <si>
    <t>ณ  วันที่   30  กันยายน  2551</t>
  </si>
  <si>
    <t>ณ วันที่ 30 ก.ย.2551</t>
  </si>
  <si>
    <t>ณ  วันที่   30  กันยายน  2554</t>
  </si>
  <si>
    <t>ณ วันที่ 30 ก.ย.2552</t>
  </si>
  <si>
    <t xml:space="preserve">       8. ศูนย์สุขภาพ</t>
  </si>
  <si>
    <t xml:space="preserve">       9. รั้ว</t>
  </si>
  <si>
    <t xml:space="preserve">      10.สัญญาณไฟจราจร</t>
  </si>
  <si>
    <t xml:space="preserve">      11.ป้อมยาม</t>
  </si>
  <si>
    <t xml:space="preserve">      4. ครุภัณฑ์การศึกษา</t>
  </si>
  <si>
    <t xml:space="preserve">      5.  ครุภัณฑ์โฆษณาและเผยแพร่</t>
  </si>
  <si>
    <t xml:space="preserve">      6. ครุภัณฑ์ไฟฟ้าและวิทยุ</t>
  </si>
  <si>
    <t xml:space="preserve">      7. ครุภัณฑ์คอมพิวเตอร์</t>
  </si>
  <si>
    <t xml:space="preserve">      8. ครุภัณฑ์วิทยาศาสตร์และการแพทย์</t>
  </si>
  <si>
    <t xml:space="preserve">      9. ครุภัณฑ์งานบ้านงานครัว</t>
  </si>
  <si>
    <t xml:space="preserve">     10. ครุภัณฑ์อื่น ๆ</t>
  </si>
  <si>
    <t xml:space="preserve">งบทรัพย์สินเพิ่ม - ลด จากแหล่งต่าง ๆ </t>
  </si>
  <si>
    <t>ระหว่างงวดปีงบประมาณ 2556</t>
  </si>
  <si>
    <t>ชื่อแหล่งที่มาของทรัพย์สิน</t>
  </si>
  <si>
    <t>ยกมา</t>
  </si>
  <si>
    <t>รับ</t>
  </si>
  <si>
    <t>จำหน่าย</t>
  </si>
  <si>
    <t>ยกไป</t>
  </si>
  <si>
    <t xml:space="preserve">      12. ครุภัณฑ์ดับเพลิง</t>
  </si>
  <si>
    <t>ง.  เงินกูเพื่อกระตุ้นเศรษฐกิจปี 2542</t>
  </si>
  <si>
    <t>จ.  เงินอุดหนุนของเทศบาลท้องเนียน</t>
  </si>
  <si>
    <t>ฉ.  เงินอุดหนุนอบต.ควนทอง</t>
  </si>
  <si>
    <t>ช.  เงินอุดหนุนเฉพาะกิจ</t>
  </si>
  <si>
    <t xml:space="preserve">         8.  ครุภัณฑ์โรงงาน</t>
  </si>
  <si>
    <t xml:space="preserve">         9.  ครุภัณฑ์การศึกษา</t>
  </si>
  <si>
    <t xml:space="preserve">        10. ครุภัณฑ์คอมพิวเตอร์</t>
  </si>
  <si>
    <t xml:space="preserve">        11. ครุภัณฑ์ไฟฟ้าและวิทยุ</t>
  </si>
  <si>
    <t xml:space="preserve">      12.ครุภัณฑ์ดับเพลิง</t>
  </si>
  <si>
    <t xml:space="preserve">                 รายจ่ายค้างจ่าย</t>
  </si>
  <si>
    <t xml:space="preserve">เงินสะสม 30 กันยายน 2556 ประกอบด้วย </t>
  </si>
  <si>
    <t>ทุนสำรองเงินสะสม ประจำปี 2556</t>
  </si>
  <si>
    <t>เงินสะสม ณ 30 กันยายน 2556</t>
  </si>
  <si>
    <r>
      <t>ค่าตอบแทน</t>
    </r>
    <r>
      <rPr>
        <b/>
        <sz val="14"/>
        <rFont val="TH SarabunPSK"/>
        <family val="2"/>
      </rPr>
      <t>(หมายเหตุ 3)</t>
    </r>
  </si>
  <si>
    <r>
      <t xml:space="preserve">ค่าใช้สอย </t>
    </r>
    <r>
      <rPr>
        <b/>
        <sz val="14"/>
        <rFont val="TH SarabunPSK"/>
        <family val="2"/>
      </rPr>
      <t>(หมายเหตุ 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</si>
</sst>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0."/>
    <numFmt numFmtId="166" formatCode="\t&quot;$&quot;#,##0_);\(\t&quot;$&quot;#,##0\)"/>
    <numFmt numFmtId="167" formatCode="\t&quot;$&quot;#,##0_);[Red]\(\t&quot;$&quot;#,##0\)"/>
    <numFmt numFmtId="168" formatCode="_-* #,##0_-;\-* #,##0_-;_-* &quot;-&quot;??_-;_-@_-"/>
    <numFmt numFmtId="169" formatCode="_(* #,##0_);_(* \(#,##0\);_(* &quot;-&quot;??_);_(@_)"/>
    <numFmt numFmtId="170" formatCode="General;\(#,##0.00\)"/>
  </numFmts>
  <fonts count="68">
    <font>
      <sz val="10"/>
      <name val="Arial"/>
    </font>
    <font>
      <sz val="10"/>
      <name val="Arial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u/>
      <sz val="20"/>
      <name val="TH SarabunPSK"/>
      <family val="2"/>
    </font>
    <font>
      <sz val="8"/>
      <name val="Arial"/>
      <family val="2"/>
    </font>
    <font>
      <u/>
      <sz val="16"/>
      <name val="TH SarabunPSK"/>
      <family val="2"/>
    </font>
    <font>
      <b/>
      <u/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4"/>
      <name val="Cordia New"/>
      <family val="2"/>
    </font>
    <font>
      <sz val="10"/>
      <name val="Arial"/>
      <family val="2"/>
    </font>
    <font>
      <sz val="16"/>
      <name val="Angsana New"/>
      <family val="1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18"/>
      <name val="TH SarabunPSK"/>
      <family val="2"/>
    </font>
    <font>
      <sz val="18"/>
      <name val="TH SarabunPSK"/>
      <family val="2"/>
    </font>
    <font>
      <b/>
      <u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8"/>
      <name val="Arial"/>
      <family val="2"/>
    </font>
    <font>
      <sz val="30"/>
      <name val="TH SarabunPSK"/>
      <family val="2"/>
    </font>
    <font>
      <sz val="16"/>
      <name val="Angsana New"/>
      <family val="1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/>
      <sz val="14"/>
      <name val="TH SarabunPSK"/>
      <family val="2"/>
    </font>
    <font>
      <sz val="16"/>
      <color indexed="10"/>
      <name val="TH SarabunPSK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ordia New"/>
      <family val="2"/>
    </font>
    <font>
      <b/>
      <sz val="16"/>
      <name val="Cordia New"/>
      <family val="2"/>
      <charset val="222"/>
    </font>
    <font>
      <b/>
      <sz val="14"/>
      <name val="Cordia New"/>
      <family val="2"/>
      <charset val="222"/>
    </font>
    <font>
      <b/>
      <sz val="18"/>
      <name val="Cordia New"/>
      <family val="2"/>
      <charset val="222"/>
    </font>
    <font>
      <sz val="16"/>
      <name val="Cordia New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4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6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6" applyNumberFormat="0" applyFill="0" applyAlignment="0" applyProtection="0"/>
    <xf numFmtId="0" fontId="37" fillId="4" borderId="0" applyNumberFormat="0" applyBorder="0" applyAlignment="0" applyProtection="0"/>
    <xf numFmtId="0" fontId="17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17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1" fillId="0" borderId="0"/>
    <xf numFmtId="0" fontId="51" fillId="0" borderId="0"/>
    <xf numFmtId="0" fontId="1" fillId="0" borderId="0"/>
    <xf numFmtId="0" fontId="54" fillId="0" borderId="0"/>
    <xf numFmtId="0" fontId="51" fillId="0" borderId="0"/>
    <xf numFmtId="0" fontId="38" fillId="7" borderId="1" applyNumberFormat="0" applyAlignment="0" applyProtection="0"/>
    <xf numFmtId="0" fontId="39" fillId="22" borderId="0" applyNumberFormat="0" applyBorder="0" applyAlignment="0" applyProtection="0"/>
    <xf numFmtId="0" fontId="40" fillId="0" borderId="9" applyNumberFormat="0" applyFill="0" applyAlignment="0" applyProtection="0"/>
    <xf numFmtId="0" fontId="41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8" applyNumberFormat="0" applyAlignment="0" applyProtection="0"/>
    <xf numFmtId="0" fontId="17" fillId="23" borderId="7" applyNumberFormat="0" applyFon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</cellStyleXfs>
  <cellXfs count="341">
    <xf numFmtId="0" fontId="0" fillId="0" borderId="0" xfId="0"/>
    <xf numFmtId="0" fontId="2" fillId="0" borderId="0" xfId="0" applyFont="1"/>
    <xf numFmtId="0" fontId="4" fillId="0" borderId="0" xfId="0" applyFont="1"/>
    <xf numFmtId="164" fontId="2" fillId="0" borderId="0" xfId="71" applyFont="1"/>
    <xf numFmtId="164" fontId="2" fillId="0" borderId="0" xfId="71" applyFont="1" applyBorder="1"/>
    <xf numFmtId="164" fontId="4" fillId="0" borderId="10" xfId="0" applyNumberFormat="1" applyFont="1" applyBorder="1"/>
    <xf numFmtId="0" fontId="2" fillId="0" borderId="0" xfId="0" applyFont="1" applyBorder="1"/>
    <xf numFmtId="0" fontId="3" fillId="0" borderId="0" xfId="0" applyFont="1"/>
    <xf numFmtId="0" fontId="7" fillId="0" borderId="0" xfId="0" applyFont="1"/>
    <xf numFmtId="164" fontId="4" fillId="0" borderId="10" xfId="71" applyFont="1" applyBorder="1"/>
    <xf numFmtId="0" fontId="8" fillId="0" borderId="0" xfId="0" applyFont="1"/>
    <xf numFmtId="0" fontId="4" fillId="0" borderId="0" xfId="0" applyFont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3" xfId="71" applyFont="1" applyBorder="1"/>
    <xf numFmtId="164" fontId="2" fillId="0" borderId="12" xfId="71" applyFont="1" applyBorder="1"/>
    <xf numFmtId="164" fontId="4" fillId="0" borderId="11" xfId="71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12" xfId="71" applyFont="1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164" fontId="2" fillId="0" borderId="15" xfId="71" applyFont="1" applyBorder="1"/>
    <xf numFmtId="0" fontId="2" fillId="0" borderId="10" xfId="0" applyFont="1" applyBorder="1"/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/>
    <xf numFmtId="164" fontId="2" fillId="0" borderId="16" xfId="71" applyFont="1" applyBorder="1"/>
    <xf numFmtId="0" fontId="2" fillId="0" borderId="0" xfId="0" applyFont="1" applyBorder="1" applyAlignment="1">
      <alignment horizontal="center"/>
    </xf>
    <xf numFmtId="0" fontId="47" fillId="0" borderId="0" xfId="122" applyFont="1"/>
    <xf numFmtId="0" fontId="4" fillId="0" borderId="0" xfId="122" applyFont="1"/>
    <xf numFmtId="0" fontId="2" fillId="0" borderId="0" xfId="122" applyFont="1"/>
    <xf numFmtId="164" fontId="4" fillId="0" borderId="17" xfId="102" applyFont="1" applyBorder="1"/>
    <xf numFmtId="164" fontId="2" fillId="0" borderId="0" xfId="102" applyFont="1"/>
    <xf numFmtId="164" fontId="2" fillId="0" borderId="18" xfId="102" applyFont="1" applyBorder="1"/>
    <xf numFmtId="164" fontId="2" fillId="0" borderId="0" xfId="102" applyFont="1" applyBorder="1"/>
    <xf numFmtId="43" fontId="4" fillId="0" borderId="10" xfId="122" applyNumberFormat="1" applyFont="1" applyBorder="1"/>
    <xf numFmtId="43" fontId="2" fillId="0" borderId="0" xfId="122" applyNumberFormat="1" applyFont="1" applyBorder="1"/>
    <xf numFmtId="164" fontId="4" fillId="0" borderId="10" xfId="122" applyNumberFormat="1" applyFont="1" applyBorder="1"/>
    <xf numFmtId="164" fontId="4" fillId="0" borderId="0" xfId="122" applyNumberFormat="1" applyFont="1" applyBorder="1"/>
    <xf numFmtId="0" fontId="2" fillId="0" borderId="0" xfId="122" applyFont="1" applyAlignment="1">
      <alignment horizontal="center"/>
    </xf>
    <xf numFmtId="164" fontId="4" fillId="0" borderId="15" xfId="71" applyFont="1" applyBorder="1"/>
    <xf numFmtId="0" fontId="47" fillId="0" borderId="0" xfId="0" applyFont="1"/>
    <xf numFmtId="0" fontId="2" fillId="0" borderId="0" xfId="59" applyFont="1"/>
    <xf numFmtId="0" fontId="4" fillId="0" borderId="0" xfId="59" applyFont="1" applyAlignment="1">
      <alignment horizontal="center"/>
    </xf>
    <xf numFmtId="0" fontId="55" fillId="0" borderId="0" xfId="59" applyFont="1"/>
    <xf numFmtId="0" fontId="2" fillId="0" borderId="0" xfId="59" applyFont="1" applyAlignment="1">
      <alignment horizontal="right"/>
    </xf>
    <xf numFmtId="0" fontId="4" fillId="0" borderId="12" xfId="59" applyFont="1" applyBorder="1" applyAlignment="1">
      <alignment horizontal="center"/>
    </xf>
    <xf numFmtId="0" fontId="4" fillId="0" borderId="19" xfId="59" applyFont="1" applyBorder="1" applyAlignment="1">
      <alignment horizontal="center" vertical="center" shrinkToFit="1"/>
    </xf>
    <xf numFmtId="0" fontId="4" fillId="0" borderId="20" xfId="59" applyFont="1" applyBorder="1" applyAlignment="1">
      <alignment horizontal="center"/>
    </xf>
    <xf numFmtId="0" fontId="4" fillId="0" borderId="14" xfId="59" applyFont="1" applyBorder="1" applyAlignment="1">
      <alignment horizontal="center"/>
    </xf>
    <xf numFmtId="43" fontId="4" fillId="0" borderId="14" xfId="46" applyFont="1" applyBorder="1" applyAlignment="1">
      <alignment horizontal="center" vertical="center" shrinkToFit="1"/>
    </xf>
    <xf numFmtId="15" fontId="2" fillId="0" borderId="13" xfId="59" quotePrefix="1" applyNumberFormat="1" applyFont="1" applyBorder="1" applyAlignment="1">
      <alignment horizontal="center"/>
    </xf>
    <xf numFmtId="0" fontId="4" fillId="0" borderId="21" xfId="59" applyFont="1" applyBorder="1"/>
    <xf numFmtId="43" fontId="2" fillId="0" borderId="13" xfId="46" applyFont="1" applyBorder="1" applyAlignment="1">
      <alignment horizontal="left"/>
    </xf>
    <xf numFmtId="43" fontId="2" fillId="0" borderId="13" xfId="46" applyFont="1" applyBorder="1"/>
    <xf numFmtId="0" fontId="2" fillId="0" borderId="12" xfId="59" applyFont="1" applyBorder="1" applyAlignment="1">
      <alignment horizontal="left" shrinkToFit="1"/>
    </xf>
    <xf numFmtId="0" fontId="2" fillId="0" borderId="13" xfId="59" quotePrefix="1" applyFont="1" applyBorder="1" applyAlignment="1">
      <alignment horizontal="center"/>
    </xf>
    <xf numFmtId="165" fontId="4" fillId="0" borderId="22" xfId="59" applyNumberFormat="1" applyFont="1" applyBorder="1" applyAlignment="1">
      <alignment horizontal="left"/>
    </xf>
    <xf numFmtId="0" fontId="2" fillId="0" borderId="21" xfId="59" applyFont="1" applyBorder="1"/>
    <xf numFmtId="43" fontId="2" fillId="0" borderId="13" xfId="46" applyFont="1" applyBorder="1" applyAlignment="1">
      <alignment horizontal="center"/>
    </xf>
    <xf numFmtId="0" fontId="2" fillId="0" borderId="13" xfId="59" applyFont="1" applyBorder="1" applyAlignment="1">
      <alignment vertical="center"/>
    </xf>
    <xf numFmtId="0" fontId="2" fillId="0" borderId="0" xfId="59" applyFont="1" applyBorder="1"/>
    <xf numFmtId="0" fontId="2" fillId="0" borderId="13" xfId="59" applyFont="1" applyBorder="1" applyAlignment="1">
      <alignment vertical="center" shrinkToFit="1"/>
    </xf>
    <xf numFmtId="0" fontId="2" fillId="0" borderId="21" xfId="59" applyFont="1" applyBorder="1" applyAlignment="1"/>
    <xf numFmtId="0" fontId="2" fillId="0" borderId="0" xfId="59" applyFont="1" applyAlignment="1">
      <alignment horizontal="center"/>
    </xf>
    <xf numFmtId="0" fontId="2" fillId="0" borderId="13" xfId="59" applyFont="1" applyBorder="1" applyAlignment="1">
      <alignment horizontal="left" shrinkToFit="1"/>
    </xf>
    <xf numFmtId="49" fontId="2" fillId="0" borderId="13" xfId="59" quotePrefix="1" applyNumberFormat="1" applyFont="1" applyFill="1" applyBorder="1" applyAlignment="1">
      <alignment horizontal="center"/>
    </xf>
    <xf numFmtId="0" fontId="2" fillId="0" borderId="13" xfId="123" applyFont="1" applyBorder="1"/>
    <xf numFmtId="15" fontId="2" fillId="0" borderId="13" xfId="59" applyNumberFormat="1" applyFont="1" applyBorder="1" applyAlignment="1">
      <alignment horizontal="left"/>
    </xf>
    <xf numFmtId="0" fontId="4" fillId="0" borderId="14" xfId="59" applyFont="1" applyBorder="1" applyAlignment="1">
      <alignment horizontal="center" vertical="center"/>
    </xf>
    <xf numFmtId="0" fontId="4" fillId="0" borderId="23" xfId="59" applyFont="1" applyBorder="1" applyAlignment="1">
      <alignment horizontal="center" vertical="center"/>
    </xf>
    <xf numFmtId="43" fontId="4" fillId="0" borderId="15" xfId="46" applyFont="1" applyBorder="1" applyAlignment="1">
      <alignment horizontal="center" vertical="center"/>
    </xf>
    <xf numFmtId="165" fontId="4" fillId="0" borderId="0" xfId="59" applyNumberFormat="1" applyFont="1" applyAlignment="1"/>
    <xf numFmtId="43" fontId="2" fillId="0" borderId="0" xfId="46" applyFont="1"/>
    <xf numFmtId="43" fontId="2" fillId="0" borderId="0" xfId="46" applyFont="1" applyAlignment="1">
      <alignment shrinkToFit="1"/>
    </xf>
    <xf numFmtId="0" fontId="55" fillId="0" borderId="0" xfId="59" applyFont="1" applyAlignment="1">
      <alignment horizontal="center"/>
    </xf>
    <xf numFmtId="165" fontId="56" fillId="0" borderId="0" xfId="59" applyNumberFormat="1" applyFont="1" applyAlignment="1"/>
    <xf numFmtId="43" fontId="55" fillId="0" borderId="0" xfId="46" applyFont="1"/>
    <xf numFmtId="43" fontId="55" fillId="0" borderId="0" xfId="46" applyFont="1" applyAlignment="1">
      <alignment shrinkToFit="1"/>
    </xf>
    <xf numFmtId="0" fontId="2" fillId="0" borderId="0" xfId="124" applyFont="1"/>
    <xf numFmtId="0" fontId="46" fillId="0" borderId="18" xfId="124" applyFont="1" applyBorder="1" applyAlignment="1">
      <alignment horizontal="center" vertical="center"/>
    </xf>
    <xf numFmtId="0" fontId="57" fillId="0" borderId="12" xfId="124" applyFont="1" applyBorder="1" applyAlignment="1">
      <alignment horizontal="center" vertical="center" wrapText="1"/>
    </xf>
    <xf numFmtId="0" fontId="58" fillId="0" borderId="0" xfId="124" applyFont="1"/>
    <xf numFmtId="0" fontId="50" fillId="0" borderId="14" xfId="124" applyFont="1" applyBorder="1" applyAlignment="1">
      <alignment horizontal="center" vertical="center" wrapText="1"/>
    </xf>
    <xf numFmtId="49" fontId="50" fillId="0" borderId="14" xfId="124" applyNumberFormat="1" applyFont="1" applyBorder="1" applyAlignment="1">
      <alignment horizontal="center" vertical="center" wrapText="1"/>
    </xf>
    <xf numFmtId="0" fontId="59" fillId="0" borderId="11" xfId="124" applyFont="1" applyBorder="1"/>
    <xf numFmtId="0" fontId="49" fillId="0" borderId="11" xfId="124" applyFont="1" applyBorder="1"/>
    <xf numFmtId="0" fontId="49" fillId="0" borderId="0" xfId="124" applyFont="1"/>
    <xf numFmtId="43" fontId="49" fillId="0" borderId="11" xfId="103" applyFont="1" applyBorder="1"/>
    <xf numFmtId="0" fontId="49" fillId="0" borderId="12" xfId="124" applyFont="1" applyBorder="1"/>
    <xf numFmtId="0" fontId="50" fillId="0" borderId="12" xfId="124" applyFont="1" applyBorder="1" applyAlignment="1">
      <alignment horizontal="center"/>
    </xf>
    <xf numFmtId="43" fontId="49" fillId="0" borderId="15" xfId="103" applyFont="1" applyBorder="1"/>
    <xf numFmtId="0" fontId="49" fillId="0" borderId="24" xfId="124" applyFont="1" applyBorder="1"/>
    <xf numFmtId="0" fontId="50" fillId="0" borderId="11" xfId="124" applyFont="1" applyBorder="1" applyAlignment="1">
      <alignment horizontal="center"/>
    </xf>
    <xf numFmtId="0" fontId="49" fillId="0" borderId="25" xfId="124" applyFont="1" applyBorder="1"/>
    <xf numFmtId="43" fontId="49" fillId="0" borderId="14" xfId="103" applyFont="1" applyBorder="1"/>
    <xf numFmtId="43" fontId="2" fillId="0" borderId="0" xfId="124" applyNumberFormat="1" applyFont="1"/>
    <xf numFmtId="43" fontId="2" fillId="0" borderId="0" xfId="103" applyFont="1"/>
    <xf numFmtId="43" fontId="4" fillId="0" borderId="12" xfId="46" applyFont="1" applyBorder="1" applyAlignment="1">
      <alignment horizontal="center"/>
    </xf>
    <xf numFmtId="43" fontId="4" fillId="0" borderId="14" xfId="46" applyFont="1" applyBorder="1" applyAlignment="1">
      <alignment horizontal="center"/>
    </xf>
    <xf numFmtId="0" fontId="4" fillId="0" borderId="0" xfId="124" applyFont="1" applyAlignment="1">
      <alignment horizontal="left"/>
    </xf>
    <xf numFmtId="0" fontId="4" fillId="0" borderId="0" xfId="124" applyFont="1" applyAlignment="1">
      <alignment horizontal="left" indent="3"/>
    </xf>
    <xf numFmtId="0" fontId="2" fillId="0" borderId="0" xfId="124" applyFont="1" applyAlignment="1">
      <alignment horizontal="left" indent="5"/>
    </xf>
    <xf numFmtId="0" fontId="4" fillId="0" borderId="0" xfId="124" applyFont="1" applyAlignment="1">
      <alignment horizontal="center"/>
    </xf>
    <xf numFmtId="43" fontId="2" fillId="0" borderId="10" xfId="103" applyFont="1" applyBorder="1"/>
    <xf numFmtId="0" fontId="4" fillId="0" borderId="0" xfId="124" applyFont="1"/>
    <xf numFmtId="43" fontId="49" fillId="0" borderId="12" xfId="103" applyFont="1" applyBorder="1"/>
    <xf numFmtId="43" fontId="2" fillId="0" borderId="0" xfId="101" applyFont="1"/>
    <xf numFmtId="168" fontId="2" fillId="0" borderId="0" xfId="101" applyNumberFormat="1" applyFont="1"/>
    <xf numFmtId="0" fontId="2" fillId="0" borderId="0" xfId="121" applyFont="1"/>
    <xf numFmtId="0" fontId="46" fillId="0" borderId="18" xfId="121" applyFont="1" applyBorder="1" applyAlignment="1">
      <alignment horizontal="center" vertical="center"/>
    </xf>
    <xf numFmtId="0" fontId="4" fillId="0" borderId="12" xfId="121" applyFont="1" applyBorder="1" applyAlignment="1">
      <alignment horizontal="center" vertical="center" wrapText="1"/>
    </xf>
    <xf numFmtId="43" fontId="53" fillId="0" borderId="0" xfId="101" applyFont="1"/>
    <xf numFmtId="168" fontId="53" fillId="0" borderId="0" xfId="101" applyNumberFormat="1" applyFont="1"/>
    <xf numFmtId="0" fontId="53" fillId="0" borderId="0" xfId="121" applyFont="1"/>
    <xf numFmtId="0" fontId="8" fillId="0" borderId="11" xfId="121" applyFont="1" applyBorder="1"/>
    <xf numFmtId="0" fontId="2" fillId="0" borderId="11" xfId="121" applyFont="1" applyBorder="1"/>
    <xf numFmtId="43" fontId="2" fillId="0" borderId="11" xfId="101" applyFont="1" applyBorder="1"/>
    <xf numFmtId="4" fontId="2" fillId="0" borderId="11" xfId="101" applyNumberFormat="1" applyFont="1" applyBorder="1"/>
    <xf numFmtId="0" fontId="2" fillId="0" borderId="11" xfId="121" applyFont="1" applyFill="1" applyBorder="1"/>
    <xf numFmtId="43" fontId="2" fillId="0" borderId="11" xfId="101" applyFont="1" applyFill="1" applyBorder="1"/>
    <xf numFmtId="43" fontId="2" fillId="0" borderId="0" xfId="101" applyFont="1" applyFill="1"/>
    <xf numFmtId="168" fontId="2" fillId="0" borderId="0" xfId="101" applyNumberFormat="1" applyFont="1" applyFill="1"/>
    <xf numFmtId="0" fontId="2" fillId="0" borderId="0" xfId="121" applyFont="1" applyFill="1"/>
    <xf numFmtId="0" fontId="2" fillId="0" borderId="12" xfId="121" applyFont="1" applyBorder="1"/>
    <xf numFmtId="43" fontId="2" fillId="0" borderId="12" xfId="101" applyFont="1" applyBorder="1"/>
    <xf numFmtId="0" fontId="4" fillId="0" borderId="20" xfId="121" applyFont="1" applyBorder="1" applyAlignment="1">
      <alignment horizontal="center"/>
    </xf>
    <xf numFmtId="43" fontId="2" fillId="0" borderId="15" xfId="101" applyFont="1" applyBorder="1"/>
    <xf numFmtId="43" fontId="2" fillId="0" borderId="0" xfId="121" applyNumberFormat="1" applyFont="1"/>
    <xf numFmtId="4" fontId="60" fillId="0" borderId="11" xfId="101" applyNumberFormat="1" applyFont="1" applyBorder="1"/>
    <xf numFmtId="4" fontId="2" fillId="0" borderId="0" xfId="121" applyNumberFormat="1" applyFont="1"/>
    <xf numFmtId="4" fontId="49" fillId="0" borderId="11" xfId="103" applyNumberFormat="1" applyFont="1" applyBorder="1"/>
    <xf numFmtId="43" fontId="49" fillId="0" borderId="24" xfId="103" applyFont="1" applyBorder="1"/>
    <xf numFmtId="43" fontId="49" fillId="0" borderId="26" xfId="103" applyFont="1" applyBorder="1"/>
    <xf numFmtId="43" fontId="50" fillId="0" borderId="27" xfId="103" applyFont="1" applyBorder="1"/>
    <xf numFmtId="0" fontId="3" fillId="0" borderId="18" xfId="0" applyFont="1" applyBorder="1" applyAlignment="1">
      <alignment horizontal="center"/>
    </xf>
    <xf numFmtId="0" fontId="2" fillId="0" borderId="13" xfId="0" quotePrefix="1" applyFont="1" applyBorder="1" applyAlignment="1">
      <alignment horizontal="center"/>
    </xf>
    <xf numFmtId="43" fontId="2" fillId="0" borderId="13" xfId="0" applyNumberFormat="1" applyFont="1" applyBorder="1"/>
    <xf numFmtId="0" fontId="2" fillId="0" borderId="21" xfId="0" applyFont="1" applyBorder="1"/>
    <xf numFmtId="43" fontId="2" fillId="0" borderId="0" xfId="0" applyNumberFormat="1" applyFont="1"/>
    <xf numFmtId="49" fontId="2" fillId="0" borderId="13" xfId="0" applyNumberFormat="1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43" fontId="2" fillId="0" borderId="14" xfId="0" applyNumberFormat="1" applyFont="1" applyBorder="1"/>
    <xf numFmtId="0" fontId="2" fillId="0" borderId="0" xfId="0" quotePrefix="1" applyFont="1" applyBorder="1" applyAlignment="1">
      <alignment horizontal="center"/>
    </xf>
    <xf numFmtId="43" fontId="2" fillId="0" borderId="0" xfId="0" applyNumberFormat="1" applyFont="1" applyBorder="1"/>
    <xf numFmtId="0" fontId="4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quotePrefix="1" applyFont="1" applyBorder="1" applyAlignment="1">
      <alignment horizontal="center"/>
    </xf>
    <xf numFmtId="43" fontId="2" fillId="0" borderId="12" xfId="0" applyNumberFormat="1" applyFont="1" applyBorder="1"/>
    <xf numFmtId="0" fontId="4" fillId="0" borderId="23" xfId="0" applyFont="1" applyBorder="1"/>
    <xf numFmtId="43" fontId="2" fillId="0" borderId="15" xfId="0" applyNumberFormat="1" applyFont="1" applyBorder="1"/>
    <xf numFmtId="0" fontId="2" fillId="0" borderId="0" xfId="0" applyFont="1" applyAlignment="1"/>
    <xf numFmtId="165" fontId="4" fillId="0" borderId="22" xfId="59" applyNumberFormat="1" applyFont="1" applyBorder="1" applyAlignment="1">
      <alignment horizontal="center"/>
    </xf>
    <xf numFmtId="0" fontId="4" fillId="0" borderId="0" xfId="59" applyFont="1" applyBorder="1" applyAlignment="1">
      <alignment horizontal="center"/>
    </xf>
    <xf numFmtId="165" fontId="2" fillId="0" borderId="29" xfId="59" applyNumberFormat="1" applyFont="1" applyBorder="1" applyAlignment="1">
      <alignment horizontal="center" vertical="center"/>
    </xf>
    <xf numFmtId="43" fontId="4" fillId="0" borderId="0" xfId="121" applyNumberFormat="1" applyFont="1" applyBorder="1"/>
    <xf numFmtId="0" fontId="2" fillId="0" borderId="0" xfId="120" applyFont="1"/>
    <xf numFmtId="0" fontId="46" fillId="0" borderId="18" xfId="120" applyFont="1" applyBorder="1" applyAlignment="1">
      <alignment horizontal="center" vertical="center"/>
    </xf>
    <xf numFmtId="0" fontId="57" fillId="0" borderId="12" xfId="120" applyFont="1" applyBorder="1" applyAlignment="1">
      <alignment horizontal="center" vertical="center" wrapText="1"/>
    </xf>
    <xf numFmtId="0" fontId="58" fillId="0" borderId="0" xfId="120" applyFont="1"/>
    <xf numFmtId="0" fontId="50" fillId="0" borderId="14" xfId="120" applyFont="1" applyBorder="1" applyAlignment="1">
      <alignment horizontal="center" vertical="center" wrapText="1"/>
    </xf>
    <xf numFmtId="49" fontId="50" fillId="0" borderId="14" xfId="120" applyNumberFormat="1" applyFont="1" applyBorder="1" applyAlignment="1">
      <alignment horizontal="center" vertical="center" wrapText="1"/>
    </xf>
    <xf numFmtId="0" fontId="59" fillId="0" borderId="11" xfId="120" applyFont="1" applyBorder="1"/>
    <xf numFmtId="0" fontId="49" fillId="0" borderId="11" xfId="120" applyFont="1" applyBorder="1"/>
    <xf numFmtId="0" fontId="49" fillId="0" borderId="0" xfId="120" applyFont="1"/>
    <xf numFmtId="43" fontId="49" fillId="0" borderId="11" xfId="79" applyFont="1" applyBorder="1"/>
    <xf numFmtId="4" fontId="49" fillId="0" borderId="11" xfId="79" applyNumberFormat="1" applyFont="1" applyBorder="1"/>
    <xf numFmtId="0" fontId="49" fillId="0" borderId="12" xfId="120" applyFont="1" applyBorder="1"/>
    <xf numFmtId="0" fontId="50" fillId="0" borderId="12" xfId="120" applyFont="1" applyBorder="1" applyAlignment="1">
      <alignment horizontal="center"/>
    </xf>
    <xf numFmtId="43" fontId="49" fillId="0" borderId="15" xfId="79" applyFont="1" applyBorder="1"/>
    <xf numFmtId="0" fontId="49" fillId="0" borderId="24" xfId="120" applyFont="1" applyBorder="1"/>
    <xf numFmtId="43" fontId="49" fillId="0" borderId="12" xfId="79" applyFont="1" applyBorder="1"/>
    <xf numFmtId="0" fontId="50" fillId="0" borderId="11" xfId="120" applyFont="1" applyBorder="1" applyAlignment="1">
      <alignment horizontal="center"/>
    </xf>
    <xf numFmtId="0" fontId="49" fillId="0" borderId="25" xfId="120" applyFont="1" applyBorder="1"/>
    <xf numFmtId="43" fontId="49" fillId="0" borderId="24" xfId="79" applyFont="1" applyBorder="1"/>
    <xf numFmtId="43" fontId="49" fillId="0" borderId="26" xfId="79" applyFont="1" applyBorder="1"/>
    <xf numFmtId="4" fontId="50" fillId="0" borderId="27" xfId="79" applyNumberFormat="1" applyFont="1" applyBorder="1"/>
    <xf numFmtId="43" fontId="49" fillId="0" borderId="14" xfId="79" applyFont="1" applyBorder="1"/>
    <xf numFmtId="43" fontId="2" fillId="0" borderId="0" xfId="79" applyFont="1"/>
    <xf numFmtId="43" fontId="2" fillId="0" borderId="0" xfId="120" applyNumberFormat="1" applyFont="1"/>
    <xf numFmtId="164" fontId="2" fillId="0" borderId="0" xfId="80" applyFont="1"/>
    <xf numFmtId="0" fontId="4" fillId="0" borderId="30" xfId="0" applyFont="1" applyBorder="1" applyAlignment="1">
      <alignment horizontal="center" vertical="center"/>
    </xf>
    <xf numFmtId="164" fontId="55" fillId="0" borderId="0" xfId="80" applyFont="1"/>
    <xf numFmtId="164" fontId="49" fillId="0" borderId="0" xfId="80" applyFont="1"/>
    <xf numFmtId="164" fontId="2" fillId="0" borderId="13" xfId="80" applyFont="1" applyBorder="1"/>
    <xf numFmtId="164" fontId="49" fillId="0" borderId="0" xfId="80" applyFont="1" applyAlignment="1">
      <alignment horizontal="center"/>
    </xf>
    <xf numFmtId="169" fontId="2" fillId="0" borderId="0" xfId="80" applyNumberFormat="1" applyFont="1"/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64" fontId="2" fillId="0" borderId="0" xfId="80" applyFont="1" applyBorder="1"/>
    <xf numFmtId="164" fontId="2" fillId="0" borderId="21" xfId="80" applyFont="1" applyBorder="1" applyAlignment="1">
      <alignment horizontal="left"/>
    </xf>
    <xf numFmtId="164" fontId="2" fillId="0" borderId="10" xfId="80" applyFont="1" applyBorder="1"/>
    <xf numFmtId="0" fontId="2" fillId="0" borderId="0" xfId="0" applyFont="1" applyBorder="1" applyAlignment="1"/>
    <xf numFmtId="0" fontId="2" fillId="0" borderId="21" xfId="0" applyFont="1" applyBorder="1" applyAlignment="1"/>
    <xf numFmtId="164" fontId="4" fillId="0" borderId="0" xfId="80" applyFont="1"/>
    <xf numFmtId="0" fontId="2" fillId="0" borderId="18" xfId="0" applyFont="1" applyBorder="1"/>
    <xf numFmtId="0" fontId="2" fillId="0" borderId="23" xfId="0" applyFont="1" applyBorder="1"/>
    <xf numFmtId="0" fontId="2" fillId="0" borderId="0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55" fillId="0" borderId="21" xfId="0" applyFont="1" applyBorder="1"/>
    <xf numFmtId="0" fontId="4" fillId="0" borderId="18" xfId="0" applyFont="1" applyBorder="1"/>
    <xf numFmtId="0" fontId="4" fillId="0" borderId="0" xfId="59" applyFont="1" applyBorder="1"/>
    <xf numFmtId="49" fontId="2" fillId="0" borderId="13" xfId="59" applyNumberFormat="1" applyFont="1" applyBorder="1" applyAlignment="1">
      <alignment horizontal="center"/>
    </xf>
    <xf numFmtId="0" fontId="4" fillId="0" borderId="22" xfId="59" applyFont="1" applyBorder="1"/>
    <xf numFmtId="43" fontId="2" fillId="0" borderId="13" xfId="46" applyFont="1" applyBorder="1" applyAlignment="1"/>
    <xf numFmtId="170" fontId="2" fillId="0" borderId="11" xfId="101" applyNumberFormat="1" applyFont="1" applyFill="1" applyBorder="1"/>
    <xf numFmtId="164" fontId="2" fillId="0" borderId="11" xfId="71" applyFont="1" applyFill="1" applyBorder="1"/>
    <xf numFmtId="164" fontId="49" fillId="0" borderId="0" xfId="71" applyFont="1"/>
    <xf numFmtId="0" fontId="49" fillId="0" borderId="0" xfId="124" applyFont="1" applyAlignment="1">
      <alignment horizontal="center"/>
    </xf>
    <xf numFmtId="43" fontId="49" fillId="0" borderId="0" xfId="124" applyNumberFormat="1" applyFont="1"/>
    <xf numFmtId="164" fontId="2" fillId="0" borderId="0" xfId="71" applyFont="1" applyFill="1"/>
    <xf numFmtId="164" fontId="2" fillId="0" borderId="0" xfId="121" applyNumberFormat="1" applyFont="1"/>
    <xf numFmtId="0" fontId="5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71" applyFont="1" applyBorder="1"/>
    <xf numFmtId="164" fontId="2" fillId="0" borderId="11" xfId="0" applyNumberFormat="1" applyFont="1" applyBorder="1"/>
    <xf numFmtId="164" fontId="2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Border="1"/>
    <xf numFmtId="0" fontId="8" fillId="0" borderId="13" xfId="0" applyFont="1" applyBorder="1"/>
    <xf numFmtId="0" fontId="8" fillId="0" borderId="12" xfId="0" applyFont="1" applyBorder="1"/>
    <xf numFmtId="0" fontId="2" fillId="0" borderId="14" xfId="0" applyFont="1" applyBorder="1"/>
    <xf numFmtId="43" fontId="4" fillId="0" borderId="0" xfId="122" applyNumberFormat="1" applyFont="1"/>
    <xf numFmtId="0" fontId="16" fillId="0" borderId="0" xfId="110"/>
    <xf numFmtId="0" fontId="63" fillId="0" borderId="0" xfId="110" applyFont="1" applyAlignment="1">
      <alignment horizontal="right"/>
    </xf>
    <xf numFmtId="0" fontId="4" fillId="0" borderId="25" xfId="110" applyFont="1" applyBorder="1" applyAlignment="1">
      <alignment horizontal="center"/>
    </xf>
    <xf numFmtId="0" fontId="4" fillId="0" borderId="31" xfId="110" applyFont="1" applyBorder="1" applyAlignment="1">
      <alignment horizontal="center"/>
    </xf>
    <xf numFmtId="0" fontId="4" fillId="0" borderId="14" xfId="110" applyFont="1" applyBorder="1" applyAlignment="1">
      <alignment horizontal="center"/>
    </xf>
    <xf numFmtId="0" fontId="4" fillId="0" borderId="13" xfId="110" applyFont="1" applyBorder="1"/>
    <xf numFmtId="0" fontId="2" fillId="0" borderId="13" xfId="110" applyFont="1" applyBorder="1"/>
    <xf numFmtId="4" fontId="2" fillId="0" borderId="13" xfId="110" applyNumberFormat="1" applyFont="1" applyBorder="1"/>
    <xf numFmtId="4" fontId="2" fillId="0" borderId="21" xfId="110" applyNumberFormat="1" applyFont="1" applyBorder="1" applyAlignment="1">
      <alignment horizontal="right"/>
    </xf>
    <xf numFmtId="0" fontId="2" fillId="0" borderId="0" xfId="110" applyFont="1"/>
    <xf numFmtId="4" fontId="2" fillId="0" borderId="13" xfId="110" applyNumberFormat="1" applyFont="1" applyBorder="1" applyAlignment="1">
      <alignment horizontal="right"/>
    </xf>
    <xf numFmtId="43" fontId="2" fillId="0" borderId="13" xfId="72" applyFont="1" applyBorder="1"/>
    <xf numFmtId="43" fontId="2" fillId="0" borderId="13" xfId="72" applyFont="1" applyBorder="1" applyAlignment="1">
      <alignment horizontal="right" vertical="justify"/>
    </xf>
    <xf numFmtId="49" fontId="2" fillId="0" borderId="13" xfId="110" applyNumberFormat="1" applyFont="1" applyBorder="1"/>
    <xf numFmtId="0" fontId="49" fillId="0" borderId="13" xfId="110" applyFont="1" applyBorder="1"/>
    <xf numFmtId="4" fontId="2" fillId="0" borderId="0" xfId="110" applyNumberFormat="1" applyFont="1" applyBorder="1" applyAlignment="1">
      <alignment horizontal="right"/>
    </xf>
    <xf numFmtId="0" fontId="2" fillId="0" borderId="22" xfId="110" applyFont="1" applyBorder="1"/>
    <xf numFmtId="4" fontId="4" fillId="0" borderId="15" xfId="110" applyNumberFormat="1" applyFont="1" applyBorder="1"/>
    <xf numFmtId="0" fontId="4" fillId="0" borderId="15" xfId="110" applyFont="1" applyBorder="1"/>
    <xf numFmtId="0" fontId="2" fillId="0" borderId="0" xfId="110" applyFont="1" applyAlignment="1"/>
    <xf numFmtId="0" fontId="49" fillId="0" borderId="0" xfId="110" applyFont="1"/>
    <xf numFmtId="0" fontId="49" fillId="0" borderId="0" xfId="110" applyFont="1" applyAlignment="1">
      <alignment horizontal="right"/>
    </xf>
    <xf numFmtId="0" fontId="50" fillId="0" borderId="0" xfId="110" applyFont="1" applyBorder="1" applyAlignment="1">
      <alignment horizontal="center"/>
    </xf>
    <xf numFmtId="0" fontId="49" fillId="0" borderId="0" xfId="110" applyFont="1" applyBorder="1"/>
    <xf numFmtId="4" fontId="49" fillId="0" borderId="0" xfId="110" applyNumberFormat="1" applyFont="1" applyBorder="1"/>
    <xf numFmtId="0" fontId="49" fillId="0" borderId="0" xfId="110" applyFont="1" applyBorder="1" applyAlignment="1">
      <alignment horizontal="center"/>
    </xf>
    <xf numFmtId="4" fontId="50" fillId="0" borderId="0" xfId="110" applyNumberFormat="1" applyFont="1" applyBorder="1"/>
    <xf numFmtId="0" fontId="16" fillId="0" borderId="0" xfId="110" applyAlignment="1">
      <alignment horizontal="right"/>
    </xf>
    <xf numFmtId="0" fontId="65" fillId="0" borderId="12" xfId="110" applyFont="1" applyBorder="1" applyAlignment="1">
      <alignment horizontal="center"/>
    </xf>
    <xf numFmtId="0" fontId="65" fillId="0" borderId="14" xfId="110" applyFont="1" applyBorder="1" applyAlignment="1">
      <alignment horizontal="center"/>
    </xf>
    <xf numFmtId="0" fontId="16" fillId="0" borderId="13" xfId="110" applyBorder="1"/>
    <xf numFmtId="4" fontId="16" fillId="0" borderId="13" xfId="110" applyNumberFormat="1" applyBorder="1"/>
    <xf numFmtId="43" fontId="0" fillId="0" borderId="13" xfId="72" applyFont="1" applyBorder="1" applyAlignment="1">
      <alignment horizontal="center"/>
    </xf>
    <xf numFmtId="0" fontId="16" fillId="0" borderId="14" xfId="110" applyBorder="1" applyAlignment="1">
      <alignment horizontal="center"/>
    </xf>
    <xf numFmtId="4" fontId="65" fillId="0" borderId="15" xfId="110" applyNumberFormat="1" applyFont="1" applyBorder="1"/>
    <xf numFmtId="0" fontId="16" fillId="0" borderId="15" xfId="110" applyBorder="1"/>
    <xf numFmtId="43" fontId="0" fillId="0" borderId="13" xfId="72" applyFont="1" applyBorder="1"/>
    <xf numFmtId="0" fontId="16" fillId="0" borderId="0" xfId="110" applyBorder="1"/>
    <xf numFmtId="4" fontId="16" fillId="0" borderId="0" xfId="110" applyNumberFormat="1" applyBorder="1"/>
    <xf numFmtId="0" fontId="16" fillId="0" borderId="0" xfId="110" applyBorder="1" applyAlignment="1">
      <alignment horizontal="center"/>
    </xf>
    <xf numFmtId="4" fontId="65" fillId="0" borderId="0" xfId="110" applyNumberFormat="1" applyFont="1" applyBorder="1"/>
    <xf numFmtId="4" fontId="16" fillId="0" borderId="0" xfId="110" applyNumberFormat="1"/>
    <xf numFmtId="0" fontId="4" fillId="0" borderId="11" xfId="110" applyFont="1" applyBorder="1" applyAlignment="1">
      <alignment horizontal="center"/>
    </xf>
    <xf numFmtId="0" fontId="4" fillId="0" borderId="32" xfId="110" applyFont="1" applyBorder="1" applyAlignment="1">
      <alignment horizontal="center"/>
    </xf>
    <xf numFmtId="0" fontId="50" fillId="0" borderId="13" xfId="110" applyFont="1" applyBorder="1"/>
    <xf numFmtId="49" fontId="49" fillId="0" borderId="13" xfId="110" applyNumberFormat="1" applyFont="1" applyBorder="1"/>
    <xf numFmtId="43" fontId="2" fillId="0" borderId="13" xfId="72" applyFont="1" applyBorder="1" applyAlignment="1">
      <alignment horizontal="right"/>
    </xf>
    <xf numFmtId="0" fontId="49" fillId="0" borderId="22" xfId="110" applyFont="1" applyBorder="1"/>
    <xf numFmtId="0" fontId="2" fillId="0" borderId="33" xfId="110" applyFont="1" applyBorder="1"/>
    <xf numFmtId="4" fontId="2" fillId="0" borderId="15" xfId="110" applyNumberFormat="1" applyFont="1" applyBorder="1" applyAlignment="1">
      <alignment horizontal="right"/>
    </xf>
    <xf numFmtId="4" fontId="2" fillId="0" borderId="15" xfId="110" applyNumberFormat="1" applyFont="1" applyBorder="1" applyAlignment="1">
      <alignment horizontal="center"/>
    </xf>
    <xf numFmtId="4" fontId="2" fillId="0" borderId="0" xfId="110" applyNumberFormat="1" applyFont="1" applyAlignment="1">
      <alignment horizontal="right"/>
    </xf>
    <xf numFmtId="4" fontId="49" fillId="0" borderId="0" xfId="110" applyNumberFormat="1" applyFont="1" applyAlignment="1">
      <alignment horizontal="right"/>
    </xf>
    <xf numFmtId="4" fontId="2" fillId="0" borderId="0" xfId="110" applyNumberFormat="1" applyFont="1" applyBorder="1" applyAlignment="1">
      <alignment horizontal="center"/>
    </xf>
    <xf numFmtId="4" fontId="2" fillId="0" borderId="13" xfId="110" applyNumberFormat="1" applyFont="1" applyBorder="1" applyAlignment="1">
      <alignment horizontal="center"/>
    </xf>
    <xf numFmtId="0" fontId="2" fillId="0" borderId="15" xfId="110" applyFont="1" applyBorder="1"/>
    <xf numFmtId="0" fontId="16" fillId="0" borderId="0" xfId="110" applyAlignment="1">
      <alignment horizontal="left"/>
    </xf>
    <xf numFmtId="0" fontId="64" fillId="0" borderId="0" xfId="110" applyFont="1" applyBorder="1" applyAlignment="1">
      <alignment horizontal="center"/>
    </xf>
    <xf numFmtId="0" fontId="67" fillId="0" borderId="0" xfId="110" applyFont="1" applyBorder="1"/>
    <xf numFmtId="4" fontId="67" fillId="0" borderId="0" xfId="110" applyNumberFormat="1" applyFont="1" applyBorder="1" applyAlignment="1">
      <alignment horizontal="right"/>
    </xf>
    <xf numFmtId="4" fontId="16" fillId="0" borderId="0" xfId="110" applyNumberFormat="1" applyBorder="1" applyAlignment="1">
      <alignment horizontal="right"/>
    </xf>
    <xf numFmtId="4" fontId="16" fillId="0" borderId="0" xfId="110" applyNumberFormat="1" applyBorder="1" applyAlignment="1">
      <alignment horizontal="center"/>
    </xf>
    <xf numFmtId="0" fontId="50" fillId="0" borderId="0" xfId="110" applyFont="1" applyAlignment="1">
      <alignment horizontal="right"/>
    </xf>
    <xf numFmtId="43" fontId="49" fillId="0" borderId="11" xfId="124" applyNumberFormat="1" applyFont="1" applyBorder="1"/>
    <xf numFmtId="0" fontId="49" fillId="0" borderId="32" xfId="124" applyFont="1" applyBorder="1"/>
    <xf numFmtId="0" fontId="49" fillId="0" borderId="31" xfId="124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122" applyFont="1" applyAlignment="1">
      <alignment horizontal="center"/>
    </xf>
    <xf numFmtId="0" fontId="5" fillId="0" borderId="0" xfId="122" applyFont="1" applyAlignment="1">
      <alignment horizontal="center"/>
    </xf>
    <xf numFmtId="0" fontId="46" fillId="0" borderId="0" xfId="122" applyFont="1" applyAlignment="1">
      <alignment horizontal="center"/>
    </xf>
    <xf numFmtId="0" fontId="48" fillId="0" borderId="0" xfId="122" applyFont="1" applyAlignment="1">
      <alignment horizontal="center"/>
    </xf>
    <xf numFmtId="0" fontId="65" fillId="0" borderId="25" xfId="110" applyFont="1" applyBorder="1" applyAlignment="1">
      <alignment horizontal="center"/>
    </xf>
    <xf numFmtId="0" fontId="65" fillId="0" borderId="31" xfId="110" applyFont="1" applyBorder="1" applyAlignment="1">
      <alignment horizontal="center"/>
    </xf>
    <xf numFmtId="0" fontId="46" fillId="0" borderId="0" xfId="110" applyFont="1" applyAlignment="1">
      <alignment horizontal="center"/>
    </xf>
    <xf numFmtId="0" fontId="4" fillId="0" borderId="25" xfId="110" applyFont="1" applyBorder="1" applyAlignment="1">
      <alignment horizontal="center"/>
    </xf>
    <xf numFmtId="0" fontId="4" fillId="0" borderId="31" xfId="110" applyFont="1" applyBorder="1" applyAlignment="1">
      <alignment horizontal="center"/>
    </xf>
    <xf numFmtId="0" fontId="4" fillId="0" borderId="0" xfId="110" applyFont="1" applyBorder="1" applyAlignment="1">
      <alignment horizontal="center"/>
    </xf>
    <xf numFmtId="0" fontId="4" fillId="0" borderId="12" xfId="110" applyFont="1" applyBorder="1" applyAlignment="1">
      <alignment horizontal="center" vertical="center"/>
    </xf>
    <xf numFmtId="0" fontId="4" fillId="0" borderId="14" xfId="110" applyFont="1" applyBorder="1" applyAlignment="1">
      <alignment horizontal="center" vertical="center"/>
    </xf>
    <xf numFmtId="0" fontId="50" fillId="0" borderId="0" xfId="110" applyFont="1" applyBorder="1" applyAlignment="1">
      <alignment horizontal="center"/>
    </xf>
    <xf numFmtId="0" fontId="64" fillId="0" borderId="0" xfId="110" applyFont="1" applyAlignment="1">
      <alignment horizontal="center"/>
    </xf>
    <xf numFmtId="0" fontId="46" fillId="0" borderId="18" xfId="110" applyFont="1" applyBorder="1" applyAlignment="1">
      <alignment horizontal="center"/>
    </xf>
    <xf numFmtId="0" fontId="66" fillId="0" borderId="0" xfId="11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46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59" applyFont="1" applyAlignment="1">
      <alignment horizontal="center"/>
    </xf>
    <xf numFmtId="43" fontId="4" fillId="0" borderId="12" xfId="46" applyFont="1" applyBorder="1" applyAlignment="1">
      <alignment horizontal="center" vertical="center" shrinkToFit="1"/>
    </xf>
    <xf numFmtId="43" fontId="4" fillId="0" borderId="14" xfId="46" applyFont="1" applyBorder="1" applyAlignment="1">
      <alignment horizontal="center" vertical="center" shrinkToFit="1"/>
    </xf>
    <xf numFmtId="43" fontId="4" fillId="0" borderId="12" xfId="46" applyFont="1" applyBorder="1" applyAlignment="1">
      <alignment horizontal="center" vertical="center"/>
    </xf>
    <xf numFmtId="0" fontId="2" fillId="0" borderId="14" xfId="59" applyFont="1" applyBorder="1" applyAlignment="1">
      <alignment horizontal="center" vertical="center"/>
    </xf>
    <xf numFmtId="0" fontId="4" fillId="0" borderId="12" xfId="59" applyFont="1" applyBorder="1" applyAlignment="1">
      <alignment horizontal="center" vertical="center" shrinkToFit="1"/>
    </xf>
    <xf numFmtId="0" fontId="4" fillId="0" borderId="14" xfId="59" applyFont="1" applyBorder="1" applyAlignment="1">
      <alignment horizontal="center" vertical="center" shrinkToFit="1"/>
    </xf>
    <xf numFmtId="0" fontId="4" fillId="0" borderId="29" xfId="59" applyFont="1" applyBorder="1" applyAlignment="1">
      <alignment horizontal="center"/>
    </xf>
    <xf numFmtId="0" fontId="4" fillId="0" borderId="23" xfId="59" applyFont="1" applyBorder="1" applyAlignment="1">
      <alignment horizontal="center"/>
    </xf>
    <xf numFmtId="0" fontId="46" fillId="0" borderId="0" xfId="120" applyFont="1" applyAlignment="1">
      <alignment horizontal="center" vertical="center"/>
    </xf>
    <xf numFmtId="0" fontId="46" fillId="0" borderId="0" xfId="120" applyFont="1" applyBorder="1" applyAlignment="1">
      <alignment horizontal="center" vertical="center"/>
    </xf>
    <xf numFmtId="0" fontId="8" fillId="0" borderId="0" xfId="124" applyFont="1" applyAlignment="1">
      <alignment horizontal="center"/>
    </xf>
    <xf numFmtId="0" fontId="46" fillId="0" borderId="0" xfId="124" applyFont="1" applyAlignment="1">
      <alignment horizontal="center" vertical="center"/>
    </xf>
    <xf numFmtId="0" fontId="46" fillId="0" borderId="0" xfId="124" applyFont="1" applyBorder="1" applyAlignment="1">
      <alignment horizontal="center" vertical="center"/>
    </xf>
    <xf numFmtId="0" fontId="46" fillId="0" borderId="0" xfId="121" applyFont="1" applyAlignment="1">
      <alignment horizontal="center" vertical="center"/>
    </xf>
    <xf numFmtId="0" fontId="46" fillId="0" borderId="0" xfId="121" applyFont="1" applyBorder="1" applyAlignment="1">
      <alignment horizontal="center" vertical="center"/>
    </xf>
  </cellXfs>
  <cellStyles count="14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" xfId="7" builtinId="30" customBuiltin="1"/>
    <cellStyle name="20% - ส่วนที่ถูกเน้น2" xfId="8" builtinId="34" customBuiltin="1"/>
    <cellStyle name="20% - ส่วนที่ถูกเน้น3" xfId="9" builtinId="38" customBuiltin="1"/>
    <cellStyle name="20% - ส่วนที่ถูกเน้น4" xfId="10" builtinId="42" customBuiltin="1"/>
    <cellStyle name="20% - ส่วนที่ถูกเน้น5" xfId="11" builtinId="46" customBuiltin="1"/>
    <cellStyle name="20% - ส่วนที่ถูกเน้น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" xfId="19" builtinId="31" customBuiltin="1"/>
    <cellStyle name="40% - ส่วนที่ถูกเน้น2" xfId="20" builtinId="35" customBuiltin="1"/>
    <cellStyle name="40% - ส่วนที่ถูกเน้น3" xfId="21" builtinId="39" customBuiltin="1"/>
    <cellStyle name="40% - ส่วนที่ถูกเน้น4" xfId="22" builtinId="43" customBuiltin="1"/>
    <cellStyle name="40% - ส่วนที่ถูกเน้น5" xfId="23" builtinId="47" customBuiltin="1"/>
    <cellStyle name="40% - ส่วนที่ถูกเน้น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" xfId="31" builtinId="32" customBuiltin="1"/>
    <cellStyle name="60% - ส่วนที่ถูกเน้น2" xfId="32" builtinId="36" customBuiltin="1"/>
    <cellStyle name="60% - ส่วนที่ถูกเน้น3" xfId="33" builtinId="40" customBuiltin="1"/>
    <cellStyle name="60% - ส่วนที่ถูกเน้น4" xfId="34" builtinId="44" customBuiltin="1"/>
    <cellStyle name="60% - ส่วนที่ถูกเน้น5" xfId="35" builtinId="48" customBuiltin="1"/>
    <cellStyle name="60% - ส่วนที่ถูกเน้น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71" builtinId="3"/>
    <cellStyle name="Comma 2" xfId="46"/>
    <cellStyle name="Comma 3" xfId="47"/>
    <cellStyle name="Comma 4" xfId="48"/>
    <cellStyle name="Comma 5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" xfId="0" builtinId="0"/>
    <cellStyle name="Normal 2" xfId="59"/>
    <cellStyle name="Normal 3" xfId="60"/>
    <cellStyle name="Normal 4" xfId="61"/>
    <cellStyle name="Normal 5" xfId="62"/>
    <cellStyle name="Note" xfId="63"/>
    <cellStyle name="Output" xfId="64"/>
    <cellStyle name="Title" xfId="65"/>
    <cellStyle name="Total" xfId="66"/>
    <cellStyle name="Warning Text" xfId="67"/>
    <cellStyle name="การคำนวณ" xfId="68" builtinId="22" customBuiltin="1"/>
    <cellStyle name="ข้อความเตือน" xfId="69" builtinId="11" customBuiltin="1"/>
    <cellStyle name="ข้อความอธิบาย" xfId="70" builtinId="53" customBuiltin="1"/>
    <cellStyle name="เครื่องหมายจุลภาค 10" xfId="72"/>
    <cellStyle name="เครื่องหมายจุลภาค 10 2" xfId="73"/>
    <cellStyle name="เครื่องหมายจุลภาค 11" xfId="74"/>
    <cellStyle name="เครื่องหมายจุลภาค 11 2" xfId="75"/>
    <cellStyle name="เครื่องหมายจุลภาค 11_เก็บยอดรายจ่ายค้างจ่าย" xfId="76"/>
    <cellStyle name="เครื่องหมายจุลภาค 12" xfId="77"/>
    <cellStyle name="เครื่องหมายจุลภาค 13" xfId="78"/>
    <cellStyle name="เครื่องหมายจุลภาค 14" xfId="79"/>
    <cellStyle name="เครื่องหมายจุลภาค 15" xfId="80"/>
    <cellStyle name="เครื่องหมายจุลภาค 2" xfId="81"/>
    <cellStyle name="เครื่องหมายจุลภาค 2 2" xfId="82"/>
    <cellStyle name="เครื่องหมายจุลภาค 2 3" xfId="83"/>
    <cellStyle name="เครื่องหมายจุลภาค 3" xfId="84"/>
    <cellStyle name="เครื่องหมายจุลภาค 3 2" xfId="85"/>
    <cellStyle name="เครื่องหมายจุลภาค 3 3" xfId="86"/>
    <cellStyle name="เครื่องหมายจุลภาค 3 4" xfId="87"/>
    <cellStyle name="เครื่องหมายจุลภาค 4" xfId="88"/>
    <cellStyle name="เครื่องหมายจุลภาค 4 2" xfId="89"/>
    <cellStyle name="เครื่องหมายจุลภาค 5" xfId="90"/>
    <cellStyle name="เครื่องหมายจุลภาค 5 2" xfId="91"/>
    <cellStyle name="เครื่องหมายจุลภาค 5 2 2" xfId="92"/>
    <cellStyle name="เครื่องหมายจุลภาค 5_เก็บยอดรายจ่ายค้างจ่าย" xfId="93"/>
    <cellStyle name="เครื่องหมายจุลภาค 6" xfId="94"/>
    <cellStyle name="เครื่องหมายจุลภาค 7" xfId="95"/>
    <cellStyle name="เครื่องหมายจุลภาค 8" xfId="96"/>
    <cellStyle name="เครื่องหมายจุลภาค 8 2" xfId="97"/>
    <cellStyle name="เครื่องหมายจุลภาค 8 2 2" xfId="98"/>
    <cellStyle name="เครื่องหมายจุลภาค 8 2_เก็บยอดรายจ่ายค้างจ่าย" xfId="99"/>
    <cellStyle name="เครื่องหมายจุลภาค 9" xfId="100"/>
    <cellStyle name="เครื่องหมายจุลภาค_กระดาษทำการ 2555 - แก้ไข" xfId="101"/>
    <cellStyle name="เครื่องหมายจุลภาค_งบแสดงฐานะการเงิน55" xfId="102"/>
    <cellStyle name="เครื่องหมายจุลภาค_ทต.อ่าว_งบแสดงฐานะการเงิน  30กย 55" xfId="103"/>
    <cellStyle name="ชื่อเรื่อง" xfId="104" builtinId="15" customBuiltin="1"/>
    <cellStyle name="เซลล์ตรวจสอบ" xfId="105" builtinId="23" customBuiltin="1"/>
    <cellStyle name="เซลล์ที่มีการเชื่อมโยง" xfId="106" builtinId="24" customBuiltin="1"/>
    <cellStyle name="ดี" xfId="107" builtinId="26" customBuiltin="1"/>
    <cellStyle name="ปกติ 2" xfId="108"/>
    <cellStyle name="ปกติ 2 2" xfId="109"/>
    <cellStyle name="ปกติ 2 3" xfId="110"/>
    <cellStyle name="ปกติ 2_เก็บยอดรายจ่ายค้างจ่าย" xfId="111"/>
    <cellStyle name="ปกติ 3" xfId="112"/>
    <cellStyle name="ปกติ 4" xfId="113"/>
    <cellStyle name="ปกติ 5" xfId="114"/>
    <cellStyle name="ปกติ 6" xfId="115"/>
    <cellStyle name="ปกติ 7" xfId="116"/>
    <cellStyle name="ปกติ 8" xfId="117"/>
    <cellStyle name="ปกติ 8 2" xfId="118"/>
    <cellStyle name="ปกติ 8_เก็บยอดจ่ายขาดเงินสะสม" xfId="119"/>
    <cellStyle name="ปกติ 9" xfId="120"/>
    <cellStyle name="ปกติ_กระดาษทำการ 2555 - แก้ไข" xfId="121"/>
    <cellStyle name="ปกติ_งบแสดงฐานะการเงิน55" xfId="122"/>
    <cellStyle name="ปกติ_จ่ายขาดเงินสะสมเทศบาลตำบลอ่าวขนอม" xfId="123"/>
    <cellStyle name="ปกติ_ทต.อ่าว_งบแสดงฐานะการเงิน  30กย 55" xfId="124"/>
    <cellStyle name="ป้อนค่า" xfId="125" builtinId="20" customBuiltin="1"/>
    <cellStyle name="ปานกลาง" xfId="126" builtinId="28" customBuiltin="1"/>
    <cellStyle name="ผลรวม" xfId="127" builtinId="25" customBuiltin="1"/>
    <cellStyle name="แย่" xfId="128" builtinId="27" customBuiltin="1"/>
    <cellStyle name="ส่วนที่ถูกเน้น1" xfId="129" builtinId="29" customBuiltin="1"/>
    <cellStyle name="ส่วนที่ถูกเน้น2" xfId="130" builtinId="33" customBuiltin="1"/>
    <cellStyle name="ส่วนที่ถูกเน้น3" xfId="131" builtinId="37" customBuiltin="1"/>
    <cellStyle name="ส่วนที่ถูกเน้น4" xfId="132" builtinId="41" customBuiltin="1"/>
    <cellStyle name="ส่วนที่ถูกเน้น5" xfId="133" builtinId="45" customBuiltin="1"/>
    <cellStyle name="ส่วนที่ถูกเน้น6" xfId="134" builtinId="49" customBuiltin="1"/>
    <cellStyle name="แสดงผล" xfId="135" builtinId="21" customBuiltin="1"/>
    <cellStyle name="หมายเหตุ" xfId="136" builtinId="10" customBuiltin="1"/>
    <cellStyle name="หัวเรื่อง 1" xfId="137" builtinId="16" customBuiltin="1"/>
    <cellStyle name="หัวเรื่อง 2" xfId="138" builtinId="17" customBuiltin="1"/>
    <cellStyle name="หัวเรื่อง 3" xfId="139" builtinId="18" customBuiltin="1"/>
    <cellStyle name="หัวเรื่อง 4" xfId="140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59" zoomScale="130" workbookViewId="0">
      <selection activeCell="H9" sqref="H9"/>
    </sheetView>
  </sheetViews>
  <sheetFormatPr defaultRowHeight="24"/>
  <cols>
    <col min="1" max="1" width="38.5703125" style="1" customWidth="1"/>
    <col min="2" max="2" width="15" style="1" customWidth="1"/>
    <col min="3" max="3" width="9.42578125" style="1" customWidth="1"/>
    <col min="4" max="4" width="15.7109375" style="1" customWidth="1"/>
    <col min="5" max="5" width="15.140625" style="1" customWidth="1"/>
    <col min="6" max="6" width="15.28515625" style="1" bestFit="1" customWidth="1"/>
    <col min="7" max="7" width="19.42578125" style="1" bestFit="1" customWidth="1"/>
    <col min="8" max="9" width="12.85546875" style="1" customWidth="1"/>
    <col min="10" max="10" width="18.140625" style="185" customWidth="1"/>
    <col min="11" max="11" width="15.28515625" style="185" bestFit="1" customWidth="1"/>
    <col min="12" max="12" width="7.140625" style="185" customWidth="1"/>
    <col min="13" max="13" width="14.140625" style="1" bestFit="1" customWidth="1"/>
    <col min="14" max="14" width="12.7109375" style="1" bestFit="1" customWidth="1"/>
    <col min="15" max="15" width="10.28515625" style="1" bestFit="1" customWidth="1"/>
    <col min="16" max="16384" width="9.140625" style="1"/>
  </cols>
  <sheetData>
    <row r="1" spans="1:14">
      <c r="A1" s="296" t="s">
        <v>183</v>
      </c>
      <c r="B1" s="296"/>
      <c r="C1" s="296"/>
      <c r="D1" s="296"/>
      <c r="E1" s="296"/>
    </row>
    <row r="2" spans="1:14">
      <c r="A2" s="296" t="s">
        <v>330</v>
      </c>
      <c r="B2" s="296"/>
      <c r="C2" s="296"/>
      <c r="D2" s="296"/>
      <c r="E2" s="296"/>
    </row>
    <row r="3" spans="1:14" ht="24.75" thickBot="1">
      <c r="A3" s="297" t="s">
        <v>204</v>
      </c>
      <c r="B3" s="297"/>
      <c r="C3" s="297"/>
      <c r="D3" s="297"/>
      <c r="E3" s="297"/>
    </row>
    <row r="4" spans="1:14" ht="25.5" thickTop="1" thickBot="1">
      <c r="A4" s="186" t="s">
        <v>76</v>
      </c>
      <c r="B4" s="150"/>
      <c r="C4" s="150" t="s">
        <v>184</v>
      </c>
      <c r="D4" s="150" t="s">
        <v>185</v>
      </c>
      <c r="E4" s="150" t="s">
        <v>186</v>
      </c>
    </row>
    <row r="5" spans="1:14" ht="24.75" thickTop="1">
      <c r="A5" s="30" t="s">
        <v>205</v>
      </c>
      <c r="B5" s="143"/>
      <c r="C5" s="141">
        <v>110100</v>
      </c>
      <c r="D5" s="142"/>
      <c r="E5" s="142"/>
    </row>
    <row r="6" spans="1:14">
      <c r="A6" s="6" t="s">
        <v>206</v>
      </c>
      <c r="B6" s="143"/>
      <c r="C6" s="141">
        <v>110201</v>
      </c>
      <c r="D6" s="142">
        <v>22039462.02</v>
      </c>
      <c r="E6" s="142"/>
      <c r="M6" s="144"/>
      <c r="N6" s="144"/>
    </row>
    <row r="7" spans="1:14">
      <c r="A7" s="6" t="s">
        <v>207</v>
      </c>
      <c r="B7" s="143"/>
      <c r="C7" s="141">
        <v>110201</v>
      </c>
      <c r="D7" s="142">
        <v>42898.52</v>
      </c>
      <c r="E7" s="142"/>
      <c r="M7" s="144"/>
      <c r="N7" s="144"/>
    </row>
    <row r="8" spans="1:14" hidden="1">
      <c r="A8" s="6" t="s">
        <v>208</v>
      </c>
      <c r="B8" s="143"/>
      <c r="C8" s="141" t="s">
        <v>209</v>
      </c>
      <c r="D8" s="142">
        <v>0</v>
      </c>
      <c r="E8" s="142"/>
      <c r="M8" s="144"/>
      <c r="N8" s="144"/>
    </row>
    <row r="9" spans="1:14">
      <c r="A9" s="6" t="s">
        <v>210</v>
      </c>
      <c r="B9" s="143"/>
      <c r="C9" s="141">
        <v>110202</v>
      </c>
      <c r="D9" s="142">
        <v>5430682.6900000004</v>
      </c>
      <c r="E9" s="142"/>
      <c r="M9" s="144"/>
      <c r="N9" s="144"/>
    </row>
    <row r="10" spans="1:14">
      <c r="A10" s="6" t="s">
        <v>211</v>
      </c>
      <c r="B10" s="143"/>
      <c r="C10" s="141">
        <v>110201</v>
      </c>
      <c r="D10" s="142">
        <v>17554.46</v>
      </c>
      <c r="E10" s="142"/>
      <c r="M10" s="144"/>
      <c r="N10" s="144"/>
    </row>
    <row r="11" spans="1:14">
      <c r="A11" s="6" t="s">
        <v>212</v>
      </c>
      <c r="B11" s="143"/>
      <c r="C11" s="141">
        <v>110201</v>
      </c>
      <c r="D11" s="142">
        <v>40425.31</v>
      </c>
      <c r="E11" s="142"/>
      <c r="M11" s="144"/>
      <c r="N11" s="144"/>
    </row>
    <row r="12" spans="1:14">
      <c r="A12" s="6" t="s">
        <v>213</v>
      </c>
      <c r="B12" s="143"/>
      <c r="C12" s="141">
        <v>110201</v>
      </c>
      <c r="D12" s="142">
        <v>15487.12</v>
      </c>
      <c r="E12" s="142"/>
      <c r="M12" s="144"/>
      <c r="N12" s="144"/>
    </row>
    <row r="13" spans="1:14">
      <c r="A13" s="6" t="s">
        <v>214</v>
      </c>
      <c r="B13" s="143"/>
      <c r="C13" s="141">
        <v>110202</v>
      </c>
      <c r="D13" s="142">
        <v>4630234.97</v>
      </c>
      <c r="E13" s="142"/>
      <c r="F13" s="144"/>
      <c r="G13" s="144"/>
      <c r="H13" s="144"/>
      <c r="I13" s="144"/>
      <c r="M13" s="144"/>
      <c r="N13" s="144"/>
    </row>
    <row r="14" spans="1:14">
      <c r="A14" s="6" t="s">
        <v>215</v>
      </c>
      <c r="B14" s="143"/>
      <c r="C14" s="141">
        <v>110201</v>
      </c>
      <c r="D14" s="142">
        <v>6283897.4000000004</v>
      </c>
      <c r="E14" s="142"/>
      <c r="F14" s="144">
        <f>SUM(D5:D14)</f>
        <v>38500642.490000002</v>
      </c>
      <c r="G14" s="185"/>
      <c r="H14" s="185"/>
      <c r="I14" s="187" t="s">
        <v>216</v>
      </c>
      <c r="J14" s="188" t="s">
        <v>217</v>
      </c>
      <c r="M14" s="144"/>
      <c r="N14" s="144"/>
    </row>
    <row r="15" spans="1:14">
      <c r="A15" s="6" t="s">
        <v>188</v>
      </c>
      <c r="B15" s="143"/>
      <c r="C15" s="141">
        <v>110605</v>
      </c>
      <c r="D15" s="189">
        <f>350522-42450+47864-331114+58-24880</f>
        <v>0</v>
      </c>
      <c r="E15" s="142"/>
      <c r="G15" s="188" t="s">
        <v>218</v>
      </c>
      <c r="H15" s="190" t="s">
        <v>219</v>
      </c>
      <c r="I15" s="190" t="s">
        <v>220</v>
      </c>
      <c r="J15" s="188" t="s">
        <v>187</v>
      </c>
      <c r="L15" s="191"/>
      <c r="M15" s="144"/>
      <c r="N15" s="144"/>
    </row>
    <row r="16" spans="1:14">
      <c r="A16" s="6" t="s">
        <v>187</v>
      </c>
      <c r="B16" s="143"/>
      <c r="C16" s="141">
        <v>110606</v>
      </c>
      <c r="D16" s="189">
        <f>108600-106800-1350-450</f>
        <v>0</v>
      </c>
      <c r="E16" s="142"/>
      <c r="F16" s="185"/>
      <c r="G16" s="185">
        <v>9000</v>
      </c>
      <c r="H16" s="185">
        <v>9000</v>
      </c>
      <c r="I16" s="185">
        <v>20000</v>
      </c>
      <c r="J16" s="185">
        <v>52310</v>
      </c>
      <c r="L16" s="191"/>
      <c r="M16" s="144"/>
      <c r="N16" s="144"/>
    </row>
    <row r="17" spans="1:14">
      <c r="A17" s="6" t="s">
        <v>221</v>
      </c>
      <c r="B17" s="143"/>
      <c r="C17" s="16">
        <v>110601</v>
      </c>
      <c r="D17" s="142">
        <f>108268+344608</f>
        <v>452876</v>
      </c>
      <c r="E17" s="142"/>
      <c r="G17" s="185">
        <v>20000</v>
      </c>
      <c r="H17" s="185"/>
      <c r="I17" s="185"/>
      <c r="J17" s="185">
        <v>7690</v>
      </c>
      <c r="L17" s="191"/>
      <c r="M17" s="144"/>
      <c r="N17" s="144"/>
    </row>
    <row r="18" spans="1:14">
      <c r="A18" s="6" t="s">
        <v>222</v>
      </c>
      <c r="B18" s="143"/>
      <c r="C18" s="16">
        <v>110602</v>
      </c>
      <c r="D18" s="142">
        <f>42002.05+1573.9</f>
        <v>43575.950000000004</v>
      </c>
      <c r="E18" s="142"/>
      <c r="G18" s="185">
        <v>183650</v>
      </c>
      <c r="H18" s="185">
        <v>183650</v>
      </c>
      <c r="I18" s="185"/>
      <c r="J18" s="185">
        <v>35990</v>
      </c>
      <c r="L18" s="191"/>
      <c r="M18" s="144"/>
      <c r="N18" s="144"/>
    </row>
    <row r="19" spans="1:14">
      <c r="A19" s="6" t="s">
        <v>223</v>
      </c>
      <c r="B19" s="143"/>
      <c r="C19" s="16">
        <v>120200</v>
      </c>
      <c r="D19" s="142">
        <f>620913.84+15131.05</f>
        <v>636044.89</v>
      </c>
      <c r="E19" s="142"/>
      <c r="G19" s="185">
        <v>47864</v>
      </c>
      <c r="H19" s="185">
        <v>47864</v>
      </c>
      <c r="I19" s="185"/>
      <c r="J19" s="185">
        <v>9010</v>
      </c>
      <c r="L19" s="191"/>
      <c r="M19" s="144"/>
      <c r="N19" s="144"/>
    </row>
    <row r="20" spans="1:14">
      <c r="A20" s="192" t="s">
        <v>82</v>
      </c>
      <c r="B20" s="193"/>
      <c r="C20" s="16" t="s">
        <v>189</v>
      </c>
      <c r="D20" s="142">
        <f>724770+45924</f>
        <v>770694</v>
      </c>
      <c r="E20" s="142"/>
      <c r="F20" s="185"/>
      <c r="G20" s="194">
        <v>70600</v>
      </c>
      <c r="H20" s="194">
        <v>70600</v>
      </c>
      <c r="I20" s="194"/>
      <c r="J20" s="194">
        <v>1800</v>
      </c>
      <c r="K20" s="194"/>
      <c r="L20" s="191"/>
      <c r="M20" s="144"/>
      <c r="N20" s="144"/>
    </row>
    <row r="21" spans="1:14">
      <c r="A21" s="192" t="s">
        <v>224</v>
      </c>
      <c r="B21" s="193"/>
      <c r="C21" s="16" t="s">
        <v>110</v>
      </c>
      <c r="D21" s="149">
        <f>B22+B23+B24+B25+B26</f>
        <v>12435050</v>
      </c>
      <c r="E21" s="142"/>
      <c r="F21" s="185"/>
      <c r="G21" s="194"/>
      <c r="H21" s="194"/>
      <c r="I21" s="194"/>
      <c r="J21" s="194">
        <v>1350</v>
      </c>
      <c r="K21" s="194"/>
      <c r="L21" s="191"/>
      <c r="M21" s="144"/>
      <c r="N21" s="144"/>
    </row>
    <row r="22" spans="1:14" hidden="1">
      <c r="A22" s="192" t="s">
        <v>225</v>
      </c>
      <c r="B22" s="195">
        <f>3609800+7396700</f>
        <v>11006500</v>
      </c>
      <c r="C22" s="16"/>
      <c r="D22" s="149"/>
      <c r="E22" s="142"/>
      <c r="F22" s="185"/>
      <c r="G22" s="194"/>
      <c r="H22" s="194"/>
      <c r="I22" s="194"/>
      <c r="J22" s="194">
        <f>SUM(J16:J21)</f>
        <v>108150</v>
      </c>
      <c r="K22" s="194"/>
      <c r="L22" s="191"/>
      <c r="M22" s="144"/>
      <c r="N22" s="144"/>
    </row>
    <row r="23" spans="1:14" hidden="1">
      <c r="A23" s="192" t="s">
        <v>226</v>
      </c>
      <c r="B23" s="195">
        <f>430500+889500</f>
        <v>1320000</v>
      </c>
      <c r="C23" s="16"/>
      <c r="D23" s="149"/>
      <c r="E23" s="142"/>
      <c r="F23" s="185"/>
      <c r="G23" s="194"/>
      <c r="H23" s="194"/>
      <c r="I23" s="194"/>
      <c r="J23" s="194"/>
      <c r="K23" s="194"/>
      <c r="L23" s="191"/>
      <c r="M23" s="144"/>
      <c r="N23" s="144"/>
    </row>
    <row r="24" spans="1:14" hidden="1">
      <c r="A24" s="192" t="s">
        <v>227</v>
      </c>
      <c r="B24" s="195">
        <v>66500</v>
      </c>
      <c r="C24" s="16"/>
      <c r="D24" s="149"/>
      <c r="E24" s="142"/>
      <c r="F24" s="185"/>
      <c r="G24" s="194"/>
      <c r="H24" s="194"/>
      <c r="I24" s="194"/>
      <c r="J24" s="194"/>
      <c r="K24" s="194"/>
      <c r="L24" s="191"/>
      <c r="M24" s="144"/>
      <c r="N24" s="144"/>
    </row>
    <row r="25" spans="1:14" hidden="1">
      <c r="A25" s="192" t="s">
        <v>228</v>
      </c>
      <c r="B25" s="195">
        <v>20000</v>
      </c>
      <c r="C25" s="16"/>
      <c r="D25" s="149"/>
      <c r="E25" s="142"/>
      <c r="F25" s="185"/>
      <c r="G25" s="194"/>
      <c r="H25" s="194"/>
      <c r="I25" s="194"/>
      <c r="J25" s="194"/>
      <c r="K25" s="194"/>
      <c r="L25" s="191"/>
      <c r="M25" s="144"/>
      <c r="N25" s="144"/>
    </row>
    <row r="26" spans="1:14" hidden="1">
      <c r="A26" s="192" t="s">
        <v>229</v>
      </c>
      <c r="B26" s="195">
        <v>22050</v>
      </c>
      <c r="C26" s="16"/>
      <c r="D26" s="149"/>
      <c r="E26" s="142"/>
      <c r="F26" s="185"/>
      <c r="G26" s="194"/>
      <c r="H26" s="194"/>
      <c r="I26" s="194"/>
      <c r="J26" s="194"/>
      <c r="K26" s="194"/>
      <c r="L26" s="191"/>
      <c r="M26" s="144"/>
      <c r="N26" s="144"/>
    </row>
    <row r="27" spans="1:14">
      <c r="A27" s="192" t="s">
        <v>230</v>
      </c>
      <c r="B27" s="193"/>
      <c r="C27" s="145" t="s">
        <v>190</v>
      </c>
      <c r="D27" s="185">
        <f>874880+218720+218720+218720+218720+218720+218720+218720+218720</f>
        <v>2624640</v>
      </c>
      <c r="E27" s="142"/>
      <c r="F27" s="185"/>
      <c r="G27" s="194"/>
      <c r="H27" s="194"/>
      <c r="I27" s="194"/>
      <c r="J27" s="194"/>
      <c r="K27" s="194"/>
      <c r="L27" s="191"/>
      <c r="M27" s="144"/>
      <c r="N27" s="144"/>
    </row>
    <row r="28" spans="1:14" ht="24.75" thickBot="1">
      <c r="A28" s="6" t="s">
        <v>231</v>
      </c>
      <c r="B28" s="143"/>
      <c r="C28" s="145" t="s">
        <v>191</v>
      </c>
      <c r="D28" s="185">
        <f>5525655.46+671789+14200+14200</f>
        <v>6225844.46</v>
      </c>
      <c r="E28" s="142"/>
      <c r="F28" s="185"/>
      <c r="G28" s="196">
        <f t="shared" ref="G28:J29" si="0">SUM(G16:G27)</f>
        <v>331114</v>
      </c>
      <c r="H28" s="196">
        <f t="shared" si="0"/>
        <v>311114</v>
      </c>
      <c r="I28" s="196">
        <f t="shared" si="0"/>
        <v>20000</v>
      </c>
      <c r="J28" s="196">
        <f t="shared" si="0"/>
        <v>216300</v>
      </c>
      <c r="K28" s="194"/>
      <c r="L28" s="191"/>
      <c r="M28" s="144"/>
      <c r="N28" s="144"/>
    </row>
    <row r="29" spans="1:14" ht="25.5" thickTop="1" thickBot="1">
      <c r="A29" s="6" t="s">
        <v>232</v>
      </c>
      <c r="B29" s="143"/>
      <c r="C29" s="145"/>
      <c r="D29" s="185">
        <v>1263600</v>
      </c>
      <c r="E29" s="142"/>
      <c r="F29" s="185"/>
      <c r="G29" s="196">
        <f t="shared" si="0"/>
        <v>653228</v>
      </c>
      <c r="H29" s="196">
        <f t="shared" si="0"/>
        <v>613228</v>
      </c>
      <c r="I29" s="196">
        <f t="shared" si="0"/>
        <v>20000</v>
      </c>
      <c r="J29" s="196">
        <f t="shared" si="0"/>
        <v>380290</v>
      </c>
      <c r="K29" s="194"/>
      <c r="L29" s="191"/>
      <c r="M29" s="144"/>
      <c r="N29" s="144"/>
    </row>
    <row r="30" spans="1:14" ht="24.75" thickTop="1">
      <c r="A30" s="197" t="s">
        <v>85</v>
      </c>
      <c r="B30" s="198"/>
      <c r="C30" s="145" t="s">
        <v>192</v>
      </c>
      <c r="D30" s="185">
        <f>361157.5+70320+1587400+5850+1950-3680</f>
        <v>2022997.5</v>
      </c>
      <c r="E30" s="142"/>
      <c r="F30" s="185"/>
      <c r="G30" s="194"/>
      <c r="H30" s="194"/>
      <c r="I30" s="194"/>
      <c r="K30" s="194"/>
      <c r="L30" s="191"/>
      <c r="M30" s="144"/>
      <c r="N30" s="144"/>
    </row>
    <row r="31" spans="1:14">
      <c r="A31" s="197" t="s">
        <v>233</v>
      </c>
      <c r="B31" s="198"/>
      <c r="C31" s="145" t="s">
        <v>110</v>
      </c>
      <c r="D31" s="185">
        <f>3880+1425</f>
        <v>5305</v>
      </c>
      <c r="E31" s="142"/>
      <c r="F31" s="185"/>
      <c r="G31" s="194"/>
      <c r="H31" s="194"/>
      <c r="I31" s="194"/>
      <c r="K31" s="194"/>
      <c r="L31" s="191"/>
      <c r="M31" s="144"/>
      <c r="N31" s="144"/>
    </row>
    <row r="32" spans="1:14">
      <c r="A32" s="197" t="s">
        <v>86</v>
      </c>
      <c r="B32" s="198"/>
      <c r="C32" s="145" t="s">
        <v>193</v>
      </c>
      <c r="D32" s="185">
        <f>3021885.02+253033.76+311114-1365-58+24880-27650+29680+72000</f>
        <v>3683519.7800000003</v>
      </c>
      <c r="E32" s="142"/>
      <c r="F32" s="185"/>
      <c r="G32" s="185"/>
      <c r="H32" s="185"/>
      <c r="I32" s="185"/>
      <c r="J32" s="194"/>
      <c r="K32" s="194"/>
      <c r="L32" s="194"/>
      <c r="M32" s="144"/>
      <c r="N32" s="144"/>
    </row>
    <row r="33" spans="1:14">
      <c r="A33" s="197" t="s">
        <v>234</v>
      </c>
      <c r="B33" s="198"/>
      <c r="C33" s="145" t="s">
        <v>110</v>
      </c>
      <c r="D33" s="185">
        <f>19320+2400</f>
        <v>21720</v>
      </c>
      <c r="E33" s="142"/>
      <c r="F33" s="185"/>
      <c r="G33" s="194" t="s">
        <v>235</v>
      </c>
      <c r="H33" s="194"/>
      <c r="I33" s="194"/>
      <c r="J33" s="194"/>
      <c r="K33" s="194"/>
      <c r="L33" s="194"/>
      <c r="M33" s="144"/>
      <c r="N33" s="144"/>
    </row>
    <row r="34" spans="1:14">
      <c r="A34" s="197" t="s">
        <v>87</v>
      </c>
      <c r="B34" s="198"/>
      <c r="C34" s="145" t="s">
        <v>194</v>
      </c>
      <c r="D34" s="185">
        <f>1639397.81+608797.1+133812.9-5850-1950</f>
        <v>2374207.81</v>
      </c>
      <c r="E34" s="142"/>
      <c r="F34" s="185"/>
      <c r="G34" s="185">
        <v>2400</v>
      </c>
      <c r="H34" s="185"/>
      <c r="I34" s="185"/>
      <c r="K34" s="194"/>
      <c r="L34" s="194"/>
      <c r="M34" s="144"/>
      <c r="N34" s="144"/>
    </row>
    <row r="35" spans="1:14">
      <c r="A35" s="197" t="s">
        <v>236</v>
      </c>
      <c r="B35" s="198"/>
      <c r="C35" s="145" t="s">
        <v>110</v>
      </c>
      <c r="D35" s="185">
        <f>3280+395000</f>
        <v>398280</v>
      </c>
      <c r="E35" s="142"/>
      <c r="F35" s="185"/>
      <c r="G35" s="185"/>
      <c r="H35" s="185"/>
      <c r="I35" s="185"/>
      <c r="K35" s="194"/>
      <c r="L35" s="194"/>
      <c r="M35" s="144"/>
      <c r="N35" s="144"/>
    </row>
    <row r="36" spans="1:14">
      <c r="A36" s="197" t="s">
        <v>88</v>
      </c>
      <c r="B36" s="198"/>
      <c r="C36" s="145" t="s">
        <v>237</v>
      </c>
      <c r="D36" s="142">
        <f>486772.94+48181.66-26000</f>
        <v>508954.6</v>
      </c>
      <c r="E36" s="142"/>
      <c r="J36" s="199"/>
    </row>
    <row r="37" spans="1:14">
      <c r="A37" s="197" t="s">
        <v>89</v>
      </c>
      <c r="B37" s="198"/>
      <c r="C37" s="145" t="s">
        <v>238</v>
      </c>
      <c r="D37" s="142">
        <f>113410+28550+29000+107320+120000+57250+22000+5650</f>
        <v>483180</v>
      </c>
      <c r="E37" s="142"/>
      <c r="J37" s="199"/>
    </row>
    <row r="38" spans="1:14">
      <c r="A38" s="197" t="s">
        <v>239</v>
      </c>
      <c r="B38" s="198"/>
      <c r="C38" s="145" t="s">
        <v>110</v>
      </c>
      <c r="D38" s="142">
        <v>103400</v>
      </c>
      <c r="E38" s="142"/>
      <c r="G38" s="143"/>
      <c r="H38" s="6"/>
      <c r="I38" s="6"/>
      <c r="J38" s="199"/>
    </row>
    <row r="39" spans="1:14">
      <c r="A39" s="197" t="s">
        <v>90</v>
      </c>
      <c r="B39" s="198"/>
      <c r="C39" s="145" t="s">
        <v>240</v>
      </c>
      <c r="D39" s="142">
        <f>801300+1112000+1633000-0.3+804000+1274244+635000+2416000+1244000</f>
        <v>9919543.6999999993</v>
      </c>
      <c r="E39" s="142"/>
      <c r="J39" s="199"/>
    </row>
    <row r="40" spans="1:14">
      <c r="A40" s="197" t="s">
        <v>241</v>
      </c>
      <c r="B40" s="198"/>
      <c r="C40" s="145" t="s">
        <v>242</v>
      </c>
      <c r="D40" s="142">
        <v>25000</v>
      </c>
      <c r="E40" s="142"/>
      <c r="J40" s="199"/>
    </row>
    <row r="41" spans="1:14">
      <c r="A41" s="197" t="s">
        <v>243</v>
      </c>
      <c r="B41" s="198"/>
      <c r="C41" s="145" t="s">
        <v>244</v>
      </c>
      <c r="D41" s="142">
        <f>442553.25+130000+69999.8+173220+1437800</f>
        <v>2253573.0499999998</v>
      </c>
      <c r="E41" s="142"/>
      <c r="J41" s="199"/>
    </row>
    <row r="42" spans="1:14" s="185" customFormat="1" hidden="1">
      <c r="A42" s="6"/>
      <c r="B42" s="143"/>
      <c r="C42" s="141"/>
      <c r="D42" s="142"/>
      <c r="E42" s="142"/>
      <c r="F42" s="1"/>
      <c r="G42" s="1"/>
      <c r="H42" s="1"/>
      <c r="I42" s="1"/>
      <c r="K42" s="194"/>
      <c r="M42" s="1"/>
      <c r="N42" s="1"/>
    </row>
    <row r="43" spans="1:14" s="185" customFormat="1" hidden="1">
      <c r="A43" s="6"/>
      <c r="B43" s="143"/>
      <c r="C43" s="141"/>
      <c r="D43" s="142"/>
      <c r="E43" s="142"/>
      <c r="F43" s="1"/>
      <c r="G43" s="1"/>
      <c r="H43" s="1"/>
      <c r="I43" s="1"/>
      <c r="K43" s="194"/>
      <c r="M43" s="1"/>
      <c r="N43" s="1"/>
    </row>
    <row r="44" spans="1:14" s="185" customFormat="1">
      <c r="A44" s="200" t="s">
        <v>195</v>
      </c>
      <c r="B44" s="201"/>
      <c r="C44" s="146"/>
      <c r="D44" s="147">
        <f>SUM(D5:D43)</f>
        <v>84752649.230000004</v>
      </c>
      <c r="E44" s="147">
        <f>SUM(E42:E43)</f>
        <v>0</v>
      </c>
      <c r="F44" s="1"/>
      <c r="G44" s="144"/>
      <c r="H44" s="144"/>
      <c r="I44" s="144"/>
      <c r="M44" s="1"/>
      <c r="N44" s="1"/>
    </row>
    <row r="45" spans="1:14" s="185" customFormat="1">
      <c r="A45" s="6"/>
      <c r="B45" s="6"/>
      <c r="C45" s="148"/>
      <c r="D45" s="149"/>
      <c r="E45" s="149"/>
      <c r="F45" s="1"/>
      <c r="G45" s="144"/>
      <c r="H45" s="144"/>
      <c r="I45" s="144"/>
      <c r="M45" s="1"/>
      <c r="N45" s="1"/>
    </row>
    <row r="46" spans="1:14" s="185" customFormat="1">
      <c r="A46" s="6"/>
      <c r="B46" s="6"/>
      <c r="C46" s="148"/>
      <c r="D46" s="149"/>
      <c r="E46" s="149"/>
      <c r="F46" s="1"/>
      <c r="G46" s="144"/>
      <c r="H46" s="144"/>
      <c r="I46" s="144"/>
      <c r="M46" s="1"/>
      <c r="N46" s="1"/>
    </row>
    <row r="47" spans="1:14" s="185" customFormat="1">
      <c r="A47" s="6"/>
      <c r="B47" s="6"/>
      <c r="C47" s="148"/>
      <c r="D47" s="149"/>
      <c r="E47" s="149"/>
      <c r="F47" s="1"/>
      <c r="G47" s="144"/>
      <c r="H47" s="144"/>
      <c r="I47" s="144"/>
      <c r="M47" s="1"/>
      <c r="N47" s="1"/>
    </row>
    <row r="48" spans="1:14" s="185" customFormat="1" ht="24.75" thickBot="1">
      <c r="A48" s="6"/>
      <c r="B48" s="6"/>
      <c r="C48" s="148"/>
      <c r="D48" s="149"/>
      <c r="E48" s="149"/>
      <c r="F48" s="1"/>
      <c r="G48" s="144"/>
      <c r="H48" s="144"/>
      <c r="I48" s="144"/>
      <c r="M48" s="1"/>
      <c r="N48" s="1"/>
    </row>
    <row r="49" spans="1:14" s="185" customFormat="1" ht="25.5" thickTop="1" thickBot="1">
      <c r="A49" s="186" t="s">
        <v>76</v>
      </c>
      <c r="B49" s="150"/>
      <c r="C49" s="151" t="s">
        <v>184</v>
      </c>
      <c r="D49" s="151" t="s">
        <v>185</v>
      </c>
      <c r="E49" s="151" t="s">
        <v>186</v>
      </c>
      <c r="F49" s="1"/>
      <c r="G49" s="1"/>
      <c r="H49" s="1"/>
      <c r="I49" s="1"/>
      <c r="M49" s="1"/>
      <c r="N49" s="1"/>
    </row>
    <row r="50" spans="1:14" s="185" customFormat="1" ht="24.75" thickTop="1">
      <c r="A50" s="6" t="s">
        <v>196</v>
      </c>
      <c r="B50" s="143"/>
      <c r="C50" s="152"/>
      <c r="D50" s="153">
        <f>D44</f>
        <v>84752649.230000004</v>
      </c>
      <c r="E50" s="153">
        <f>E44</f>
        <v>0</v>
      </c>
      <c r="F50" s="1"/>
      <c r="G50" s="1"/>
      <c r="H50" s="1"/>
      <c r="I50" s="1"/>
      <c r="M50" s="1"/>
      <c r="N50" s="1"/>
    </row>
    <row r="51" spans="1:14">
      <c r="A51" s="202" t="s">
        <v>245</v>
      </c>
      <c r="B51" s="203"/>
      <c r="C51" s="16">
        <v>210400</v>
      </c>
      <c r="D51" s="142"/>
      <c r="E51" s="142">
        <v>3065612.9</v>
      </c>
      <c r="J51" s="199"/>
    </row>
    <row r="52" spans="1:14" s="185" customFormat="1">
      <c r="A52" s="6" t="s">
        <v>246</v>
      </c>
      <c r="B52" s="143"/>
      <c r="C52" s="141">
        <v>300000</v>
      </c>
      <c r="D52" s="142"/>
      <c r="E52" s="142">
        <f>14721790.48+23295+15900+2180.28+79505+1573.9+344608+229759.5</f>
        <v>15418612.16</v>
      </c>
      <c r="F52" s="1"/>
      <c r="G52" s="1"/>
      <c r="H52" s="1"/>
      <c r="I52" s="1"/>
      <c r="J52" s="199"/>
      <c r="M52" s="1"/>
      <c r="N52" s="1"/>
    </row>
    <row r="53" spans="1:14" s="185" customFormat="1">
      <c r="A53" s="6" t="s">
        <v>247</v>
      </c>
      <c r="B53" s="143"/>
      <c r="C53" s="141">
        <v>320000</v>
      </c>
      <c r="D53" s="142"/>
      <c r="E53" s="142">
        <v>9256055.6699999999</v>
      </c>
      <c r="F53" s="1"/>
      <c r="G53" s="1"/>
      <c r="H53" s="1"/>
      <c r="I53" s="1"/>
      <c r="K53" s="194"/>
      <c r="M53" s="1"/>
      <c r="N53" s="1"/>
    </row>
    <row r="54" spans="1:14" s="185" customFormat="1">
      <c r="A54" s="6" t="s">
        <v>248</v>
      </c>
      <c r="B54" s="143"/>
      <c r="C54" s="141">
        <v>400000</v>
      </c>
      <c r="D54" s="142"/>
      <c r="E54" s="142">
        <f>38428167.99+2903491.3</f>
        <v>41331659.289999999</v>
      </c>
      <c r="F54" s="1"/>
      <c r="G54" s="1"/>
      <c r="H54" s="1"/>
      <c r="I54" s="1"/>
      <c r="M54" s="1"/>
      <c r="N54" s="1"/>
    </row>
    <row r="55" spans="1:14" s="185" customFormat="1">
      <c r="A55" s="6" t="s">
        <v>249</v>
      </c>
      <c r="B55" s="143"/>
      <c r="C55" s="141">
        <v>441001</v>
      </c>
      <c r="D55" s="142"/>
      <c r="E55" s="142">
        <f>21205+1285650-15900</f>
        <v>1290955</v>
      </c>
      <c r="F55" s="1"/>
      <c r="G55" s="185">
        <v>234730</v>
      </c>
      <c r="M55" s="1"/>
      <c r="N55" s="1"/>
    </row>
    <row r="56" spans="1:14" s="185" customFormat="1">
      <c r="A56" s="6" t="s">
        <v>250</v>
      </c>
      <c r="B56" s="143"/>
      <c r="C56" s="141">
        <v>441001</v>
      </c>
      <c r="D56" s="142"/>
      <c r="E56" s="142">
        <v>20000</v>
      </c>
      <c r="F56" s="1"/>
      <c r="G56" s="1"/>
      <c r="H56" s="1"/>
      <c r="I56" s="1"/>
      <c r="M56" s="1"/>
      <c r="N56" s="1"/>
    </row>
    <row r="57" spans="1:14" s="185" customFormat="1">
      <c r="A57" s="6" t="s">
        <v>251</v>
      </c>
      <c r="B57" s="143"/>
      <c r="C57" s="141">
        <v>441001</v>
      </c>
      <c r="D57" s="142"/>
      <c r="E57" s="142">
        <v>395000</v>
      </c>
      <c r="F57" s="1"/>
      <c r="G57" s="1"/>
      <c r="H57" s="1"/>
      <c r="I57" s="1"/>
      <c r="M57" s="1"/>
      <c r="N57" s="1"/>
    </row>
    <row r="58" spans="1:14" s="185" customFormat="1">
      <c r="A58" s="6" t="s">
        <v>252</v>
      </c>
      <c r="B58" s="143"/>
      <c r="C58" s="141">
        <v>441001</v>
      </c>
      <c r="D58" s="142"/>
      <c r="E58" s="142">
        <v>103400</v>
      </c>
      <c r="F58" s="1"/>
      <c r="G58" s="1"/>
      <c r="H58" s="1"/>
      <c r="I58" s="1"/>
      <c r="M58" s="1"/>
      <c r="N58" s="1"/>
    </row>
    <row r="59" spans="1:14" s="185" customFormat="1">
      <c r="A59" s="6" t="s">
        <v>253</v>
      </c>
      <c r="B59" s="143"/>
      <c r="C59" s="141">
        <v>441002</v>
      </c>
      <c r="D59" s="142"/>
      <c r="E59" s="142">
        <f>441000+889500-10500</f>
        <v>1320000</v>
      </c>
      <c r="F59" s="1"/>
      <c r="G59" s="1"/>
      <c r="H59" s="1"/>
      <c r="I59" s="1"/>
      <c r="M59" s="1"/>
      <c r="N59" s="1"/>
    </row>
    <row r="60" spans="1:14" s="185" customFormat="1">
      <c r="A60" s="6" t="s">
        <v>254</v>
      </c>
      <c r="B60" s="143"/>
      <c r="C60" s="141">
        <v>441002</v>
      </c>
      <c r="D60" s="142"/>
      <c r="E60" s="142">
        <f>3701300+7396700-91500</f>
        <v>11006500</v>
      </c>
      <c r="F60" s="1"/>
      <c r="G60" s="1"/>
      <c r="H60" s="1"/>
      <c r="I60" s="1"/>
      <c r="M60" s="1"/>
      <c r="N60" s="1"/>
    </row>
    <row r="61" spans="1:14" s="185" customFormat="1">
      <c r="A61" s="6" t="s">
        <v>255</v>
      </c>
      <c r="B61" s="143"/>
      <c r="C61" s="141">
        <v>441002</v>
      </c>
      <c r="D61" s="142"/>
      <c r="E61" s="142">
        <v>25000</v>
      </c>
      <c r="F61" s="1"/>
      <c r="G61" s="1"/>
      <c r="H61" s="1"/>
      <c r="I61" s="1"/>
      <c r="M61" s="1"/>
      <c r="N61" s="1"/>
    </row>
    <row r="62" spans="1:14" s="185" customFormat="1">
      <c r="A62" s="6" t="s">
        <v>256</v>
      </c>
      <c r="B62" s="204"/>
      <c r="C62" s="141">
        <v>441002</v>
      </c>
      <c r="D62" s="142"/>
      <c r="E62" s="142">
        <v>66500</v>
      </c>
      <c r="F62" s="1"/>
      <c r="G62" s="1"/>
      <c r="H62" s="1"/>
      <c r="I62" s="1"/>
      <c r="M62" s="1"/>
      <c r="N62" s="1"/>
    </row>
    <row r="63" spans="1:14" s="185" customFormat="1">
      <c r="A63" s="6" t="s">
        <v>257</v>
      </c>
      <c r="B63" s="143"/>
      <c r="C63" s="141">
        <v>230100</v>
      </c>
      <c r="D63" s="142"/>
      <c r="E63" s="142">
        <f>1535039.49-2180.28-79505</f>
        <v>1453354.21</v>
      </c>
      <c r="F63" s="1" t="s">
        <v>17</v>
      </c>
      <c r="G63" s="1"/>
      <c r="H63" s="1"/>
      <c r="I63" s="1"/>
      <c r="M63" s="1"/>
      <c r="N63" s="1"/>
    </row>
    <row r="64" spans="1:14" s="185" customFormat="1">
      <c r="A64" s="6"/>
      <c r="B64" s="143"/>
      <c r="C64" s="141"/>
      <c r="D64" s="142"/>
      <c r="E64" s="142"/>
      <c r="F64" s="1"/>
      <c r="G64" s="1"/>
      <c r="H64" s="1"/>
      <c r="I64" s="1"/>
      <c r="M64" s="1"/>
      <c r="N64" s="1"/>
    </row>
    <row r="65" spans="1:14" s="185" customFormat="1">
      <c r="A65" s="6"/>
      <c r="B65" s="143"/>
      <c r="C65" s="141"/>
      <c r="D65" s="142"/>
      <c r="E65" s="142"/>
      <c r="F65" s="1"/>
      <c r="G65" s="1"/>
      <c r="H65" s="1"/>
      <c r="I65" s="1"/>
      <c r="M65" s="1"/>
      <c r="N65" s="1"/>
    </row>
    <row r="66" spans="1:14" s="185" customFormat="1">
      <c r="A66" s="6"/>
      <c r="B66" s="143"/>
      <c r="C66" s="141"/>
      <c r="D66" s="142"/>
      <c r="E66" s="142"/>
      <c r="F66" s="1"/>
      <c r="G66" s="1"/>
      <c r="H66" s="1"/>
      <c r="I66" s="1"/>
      <c r="M66" s="1"/>
      <c r="N66" s="1"/>
    </row>
    <row r="67" spans="1:14" s="185" customFormat="1">
      <c r="A67" s="6"/>
      <c r="B67" s="143"/>
      <c r="C67" s="141"/>
      <c r="D67" s="142"/>
      <c r="E67" s="142"/>
      <c r="F67" s="1"/>
      <c r="G67" s="1"/>
      <c r="H67" s="1"/>
      <c r="I67" s="1"/>
      <c r="M67" s="1"/>
      <c r="N67" s="1"/>
    </row>
    <row r="68" spans="1:14" s="185" customFormat="1">
      <c r="A68" s="6"/>
      <c r="B68" s="143"/>
      <c r="C68" s="141"/>
      <c r="D68" s="142"/>
      <c r="E68" s="142"/>
      <c r="F68" s="1"/>
      <c r="G68" s="1"/>
      <c r="H68" s="1"/>
      <c r="I68" s="1"/>
      <c r="M68" s="1"/>
      <c r="N68" s="1"/>
    </row>
    <row r="69" spans="1:14" s="185" customFormat="1">
      <c r="A69" s="6"/>
      <c r="B69" s="143"/>
      <c r="C69" s="16"/>
      <c r="D69" s="142"/>
      <c r="E69" s="142"/>
      <c r="F69" s="1"/>
      <c r="G69" s="1"/>
      <c r="H69" s="1"/>
      <c r="I69" s="1"/>
      <c r="M69" s="1"/>
      <c r="N69" s="1"/>
    </row>
    <row r="70" spans="1:14" s="185" customFormat="1">
      <c r="A70" s="6"/>
      <c r="B70" s="143"/>
      <c r="C70" s="16"/>
      <c r="D70" s="142"/>
      <c r="E70" s="142"/>
      <c r="F70" s="144"/>
      <c r="G70" s="144"/>
      <c r="H70" s="144"/>
      <c r="I70" s="144"/>
      <c r="J70" s="1"/>
      <c r="M70" s="1"/>
      <c r="N70" s="1"/>
    </row>
    <row r="71" spans="1:14" s="185" customFormat="1" ht="24.75" thickBot="1">
      <c r="A71" s="205"/>
      <c r="B71" s="154"/>
      <c r="C71" s="17"/>
      <c r="D71" s="155">
        <f>D50</f>
        <v>84752649.230000004</v>
      </c>
      <c r="E71" s="155">
        <f>SUM(E50:E63)</f>
        <v>84752649.229999989</v>
      </c>
      <c r="F71" s="144"/>
      <c r="G71" s="144">
        <f>D71-E71</f>
        <v>0</v>
      </c>
      <c r="H71" s="144"/>
      <c r="I71" s="144"/>
      <c r="J71" s="1"/>
      <c r="M71" s="1"/>
      <c r="N71" s="1"/>
    </row>
    <row r="72" spans="1:14" s="185" customFormat="1" ht="24.75" thickTop="1">
      <c r="A72" s="6"/>
      <c r="B72" s="6"/>
      <c r="C72" s="32"/>
      <c r="D72" s="149"/>
      <c r="E72" s="149"/>
      <c r="F72" s="144"/>
      <c r="G72" s="144"/>
      <c r="H72" s="144"/>
      <c r="I72" s="144"/>
      <c r="M72" s="1"/>
      <c r="N72" s="1"/>
    </row>
    <row r="73" spans="1:14" s="185" customFormat="1">
      <c r="A73" s="6"/>
      <c r="B73" s="6"/>
      <c r="C73" s="32"/>
      <c r="D73" s="149"/>
      <c r="E73" s="149"/>
      <c r="F73" s="144"/>
      <c r="G73" s="144"/>
      <c r="H73" s="144"/>
      <c r="I73" s="144"/>
      <c r="M73" s="1"/>
      <c r="N73" s="1"/>
    </row>
    <row r="74" spans="1:14">
      <c r="A74" s="298" t="s">
        <v>199</v>
      </c>
      <c r="B74" s="298"/>
      <c r="C74" s="298"/>
      <c r="D74" s="298"/>
      <c r="E74" s="298"/>
      <c r="F74" s="32"/>
      <c r="G74" s="32"/>
      <c r="H74" s="32"/>
      <c r="I74" s="32"/>
      <c r="J74" s="32"/>
    </row>
    <row r="75" spans="1:14">
      <c r="A75" s="298" t="s">
        <v>197</v>
      </c>
      <c r="B75" s="298"/>
      <c r="C75" s="298"/>
      <c r="D75" s="298"/>
      <c r="E75" s="298"/>
      <c r="F75" s="32"/>
      <c r="G75" s="32"/>
      <c r="H75" s="32"/>
      <c r="I75" s="32"/>
      <c r="J75" s="32"/>
    </row>
    <row r="76" spans="1:14">
      <c r="A76" s="298" t="s">
        <v>198</v>
      </c>
      <c r="B76" s="298"/>
      <c r="C76" s="298"/>
      <c r="D76" s="298"/>
      <c r="E76" s="298"/>
      <c r="F76" s="32"/>
      <c r="G76" s="32"/>
      <c r="H76" s="32"/>
      <c r="I76" s="32"/>
      <c r="J76" s="32"/>
    </row>
    <row r="77" spans="1:14" s="185" customFormat="1">
      <c r="A77" s="6"/>
      <c r="B77" s="6"/>
      <c r="C77" s="32"/>
      <c r="D77" s="149"/>
      <c r="E77" s="149"/>
      <c r="F77" s="1"/>
      <c r="G77" s="1"/>
      <c r="H77" s="1"/>
      <c r="I77" s="1"/>
      <c r="M77" s="1"/>
      <c r="N77" s="1"/>
    </row>
    <row r="78" spans="1:14" s="185" customFormat="1">
      <c r="A78" s="1" t="s">
        <v>258</v>
      </c>
      <c r="B78" s="1"/>
      <c r="C78" s="156"/>
      <c r="D78" s="295" t="s">
        <v>259</v>
      </c>
      <c r="E78" s="295"/>
      <c r="F78" s="1"/>
      <c r="G78" s="1"/>
      <c r="H78" s="1"/>
      <c r="I78" s="1"/>
      <c r="M78" s="1"/>
      <c r="N78" s="1"/>
    </row>
    <row r="81" spans="1:14" s="185" customFormat="1">
      <c r="A81" s="1" t="s">
        <v>260</v>
      </c>
      <c r="B81" s="1"/>
      <c r="C81" s="156"/>
      <c r="D81" s="295" t="s">
        <v>261</v>
      </c>
      <c r="E81" s="295"/>
      <c r="F81" s="1"/>
      <c r="G81" s="1"/>
      <c r="H81" s="1"/>
      <c r="I81" s="1"/>
      <c r="M81" s="1"/>
      <c r="N81" s="1"/>
    </row>
    <row r="82" spans="1:14" s="185" customFormat="1">
      <c r="A82" s="1" t="s">
        <v>262</v>
      </c>
      <c r="B82" s="1"/>
      <c r="C82" s="156"/>
      <c r="D82" s="295" t="s">
        <v>263</v>
      </c>
      <c r="E82" s="295"/>
      <c r="F82" s="1"/>
      <c r="G82" s="1"/>
      <c r="H82" s="1"/>
      <c r="I82" s="1"/>
      <c r="M82" s="1"/>
      <c r="N82" s="1"/>
    </row>
  </sheetData>
  <mergeCells count="9">
    <mergeCell ref="D78:E78"/>
    <mergeCell ref="D81:E81"/>
    <mergeCell ref="D82:E82"/>
    <mergeCell ref="A1:E1"/>
    <mergeCell ref="A2:E2"/>
    <mergeCell ref="A3:E3"/>
    <mergeCell ref="A74:E74"/>
    <mergeCell ref="A75:E75"/>
    <mergeCell ref="A76:E76"/>
  </mergeCells>
  <pageMargins left="0.72" right="0.18" top="0.56000000000000005" bottom="0.57999999999999996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7" workbookViewId="0">
      <selection activeCell="D12" sqref="D12"/>
    </sheetView>
  </sheetViews>
  <sheetFormatPr defaultRowHeight="24"/>
  <cols>
    <col min="1" max="1" width="6.7109375" style="1" customWidth="1"/>
    <col min="2" max="2" width="38.85546875" style="1" customWidth="1"/>
    <col min="3" max="3" width="7.85546875" style="1" customWidth="1"/>
    <col min="4" max="4" width="15" style="1" bestFit="1" customWidth="1"/>
    <col min="5" max="5" width="3.42578125" style="1" customWidth="1"/>
    <col min="6" max="6" width="16.140625" style="1" bestFit="1" customWidth="1"/>
    <col min="7" max="16384" width="9.140625" style="1"/>
  </cols>
  <sheetData>
    <row r="1" spans="1:8">
      <c r="F1" s="11" t="s">
        <v>201</v>
      </c>
    </row>
    <row r="2" spans="1:8" ht="30.75">
      <c r="A2" s="322" t="s">
        <v>0</v>
      </c>
      <c r="B2" s="322"/>
      <c r="C2" s="322"/>
      <c r="D2" s="322"/>
      <c r="E2" s="322"/>
      <c r="F2" s="322"/>
    </row>
    <row r="3" spans="1:8" ht="30.75">
      <c r="A3" s="322" t="s">
        <v>37</v>
      </c>
      <c r="B3" s="322"/>
      <c r="C3" s="322"/>
      <c r="D3" s="322"/>
      <c r="E3" s="322"/>
      <c r="F3" s="322"/>
      <c r="G3" s="3"/>
      <c r="H3" s="3"/>
    </row>
    <row r="4" spans="1:8" ht="30.75">
      <c r="A4" s="322" t="s">
        <v>265</v>
      </c>
      <c r="B4" s="322"/>
      <c r="C4" s="322"/>
      <c r="D4" s="322"/>
      <c r="E4" s="322"/>
      <c r="F4" s="322"/>
      <c r="G4" s="3"/>
      <c r="H4" s="3"/>
    </row>
    <row r="5" spans="1:8">
      <c r="D5" s="3"/>
      <c r="E5" s="3"/>
      <c r="F5" s="3"/>
      <c r="G5" s="3"/>
      <c r="H5" s="3"/>
    </row>
    <row r="6" spans="1:8">
      <c r="A6" s="2" t="s">
        <v>266</v>
      </c>
      <c r="D6" s="3"/>
      <c r="E6" s="3"/>
      <c r="F6" s="3">
        <v>14721790.48</v>
      </c>
      <c r="G6" s="3"/>
      <c r="H6" s="3"/>
    </row>
    <row r="7" spans="1:8">
      <c r="A7" s="10" t="s">
        <v>38</v>
      </c>
      <c r="B7" s="1" t="s">
        <v>39</v>
      </c>
      <c r="D7" s="3">
        <v>10439504.390000001</v>
      </c>
      <c r="E7" s="3"/>
      <c r="F7" s="3"/>
      <c r="G7" s="3"/>
      <c r="H7" s="3"/>
    </row>
    <row r="8" spans="1:8">
      <c r="A8" s="10"/>
      <c r="B8" s="1" t="s">
        <v>337</v>
      </c>
      <c r="D8" s="3">
        <v>23295</v>
      </c>
      <c r="E8" s="3"/>
      <c r="F8" s="3"/>
      <c r="G8" s="3"/>
      <c r="H8" s="3"/>
    </row>
    <row r="9" spans="1:8">
      <c r="B9" s="1" t="s">
        <v>40</v>
      </c>
      <c r="D9" s="3">
        <v>229759.5</v>
      </c>
      <c r="E9" s="3"/>
      <c r="F9" s="3"/>
      <c r="G9" s="3"/>
      <c r="H9" s="3"/>
    </row>
    <row r="10" spans="1:8">
      <c r="B10" s="1" t="s">
        <v>41</v>
      </c>
      <c r="D10" s="3">
        <v>15900</v>
      </c>
      <c r="E10" s="3"/>
      <c r="F10" s="3"/>
      <c r="G10" s="3"/>
      <c r="H10" s="3"/>
    </row>
    <row r="11" spans="1:8">
      <c r="B11" s="1" t="s">
        <v>267</v>
      </c>
      <c r="D11" s="3">
        <v>2180.2800000000002</v>
      </c>
      <c r="E11" s="3"/>
      <c r="F11" s="3"/>
      <c r="G11" s="3"/>
      <c r="H11" s="3"/>
    </row>
    <row r="12" spans="1:8">
      <c r="B12" s="1" t="s">
        <v>268</v>
      </c>
      <c r="D12" s="3">
        <v>79505</v>
      </c>
      <c r="E12" s="3"/>
      <c r="F12" s="3"/>
      <c r="G12" s="3"/>
      <c r="H12" s="3"/>
    </row>
    <row r="13" spans="1:8">
      <c r="B13" s="1" t="s">
        <v>269</v>
      </c>
      <c r="D13" s="3">
        <v>1573.9</v>
      </c>
      <c r="E13" s="3"/>
      <c r="F13" s="3"/>
      <c r="G13" s="3"/>
      <c r="H13" s="3"/>
    </row>
    <row r="14" spans="1:8">
      <c r="B14" s="1" t="s">
        <v>74</v>
      </c>
      <c r="D14" s="3">
        <v>344608</v>
      </c>
      <c r="E14" s="3"/>
      <c r="F14" s="3">
        <f>SUM(D7:D14)</f>
        <v>11136326.07</v>
      </c>
      <c r="G14" s="3"/>
      <c r="H14" s="3"/>
    </row>
    <row r="15" spans="1:8">
      <c r="D15" s="3"/>
      <c r="E15" s="3"/>
      <c r="F15" s="3"/>
      <c r="G15" s="3"/>
      <c r="H15" s="3"/>
    </row>
    <row r="16" spans="1:8">
      <c r="A16" s="10" t="s">
        <v>42</v>
      </c>
      <c r="B16" s="1" t="s">
        <v>463</v>
      </c>
      <c r="D16" s="3"/>
      <c r="E16" s="3"/>
      <c r="F16" s="3">
        <v>2609876.1</v>
      </c>
      <c r="G16" s="3"/>
      <c r="H16" s="3"/>
    </row>
    <row r="17" spans="1:8" ht="24.75" thickBot="1">
      <c r="B17" s="2" t="s">
        <v>464</v>
      </c>
      <c r="C17" s="2"/>
      <c r="D17" s="3"/>
      <c r="E17" s="3"/>
      <c r="F17" s="9">
        <f>F6+F14-F16</f>
        <v>23248240.449999999</v>
      </c>
      <c r="G17" s="3"/>
      <c r="H17" s="3"/>
    </row>
    <row r="18" spans="1:8" ht="24.75" thickTop="1">
      <c r="D18" s="3"/>
      <c r="E18" s="3"/>
      <c r="F18" s="3"/>
      <c r="G18" s="3"/>
      <c r="H18" s="3"/>
    </row>
    <row r="19" spans="1:8">
      <c r="A19" s="2" t="s">
        <v>462</v>
      </c>
      <c r="D19" s="3"/>
      <c r="E19" s="3"/>
      <c r="F19" s="3"/>
      <c r="G19" s="3"/>
      <c r="H19" s="3"/>
    </row>
    <row r="20" spans="1:8">
      <c r="B20" s="1" t="s">
        <v>137</v>
      </c>
      <c r="D20" s="3"/>
      <c r="E20" s="3"/>
      <c r="F20" s="3">
        <f>452876+43575.95</f>
        <v>496451.95</v>
      </c>
      <c r="G20" s="3"/>
      <c r="H20" s="3"/>
    </row>
    <row r="21" spans="1:8">
      <c r="B21" s="1" t="s">
        <v>338</v>
      </c>
      <c r="D21" s="3"/>
      <c r="E21" s="3"/>
      <c r="F21" s="3">
        <v>748344.64</v>
      </c>
      <c r="G21" s="3"/>
      <c r="H21" s="3"/>
    </row>
    <row r="22" spans="1:8">
      <c r="B22" s="1" t="s">
        <v>138</v>
      </c>
      <c r="D22" s="3"/>
      <c r="E22" s="3"/>
      <c r="F22" s="3">
        <v>22003443.859999999</v>
      </c>
      <c r="G22" s="3"/>
      <c r="H22" s="3"/>
    </row>
    <row r="23" spans="1:8" ht="24.75" thickBot="1">
      <c r="D23" s="3"/>
      <c r="E23" s="3"/>
      <c r="F23" s="9">
        <f>SUM(F20:F22)</f>
        <v>23248240.449999999</v>
      </c>
      <c r="G23" s="3"/>
      <c r="H23" s="3"/>
    </row>
    <row r="24" spans="1:8" ht="24.75" thickTop="1">
      <c r="D24" s="3"/>
      <c r="E24" s="3"/>
      <c r="F24" s="3"/>
      <c r="G24" s="3"/>
      <c r="H24" s="3"/>
    </row>
    <row r="25" spans="1:8">
      <c r="D25" s="3"/>
      <c r="E25" s="3"/>
      <c r="F25" s="3"/>
      <c r="G25" s="3"/>
      <c r="H25" s="3"/>
    </row>
    <row r="26" spans="1:8">
      <c r="D26" s="3"/>
      <c r="E26" s="3"/>
      <c r="F26" s="3"/>
      <c r="G26" s="3"/>
      <c r="H26" s="3"/>
    </row>
    <row r="27" spans="1:8">
      <c r="D27" s="3"/>
      <c r="E27" s="3"/>
      <c r="F27" s="3"/>
      <c r="G27" s="3"/>
      <c r="H27" s="3"/>
    </row>
    <row r="28" spans="1:8">
      <c r="D28" s="3"/>
      <c r="E28" s="3"/>
      <c r="F28" s="3"/>
      <c r="G28" s="3"/>
      <c r="H28" s="3"/>
    </row>
  </sheetData>
  <mergeCells count="3">
    <mergeCell ref="A2:F2"/>
    <mergeCell ref="A3:F3"/>
    <mergeCell ref="A4:F4"/>
  </mergeCells>
  <phoneticPr fontId="6" type="noConversion"/>
  <pageMargins left="0.87" right="0.54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22" zoomScaleNormal="130" workbookViewId="0">
      <selection activeCell="A9" sqref="A9"/>
    </sheetView>
  </sheetViews>
  <sheetFormatPr defaultRowHeight="23.1" customHeight="1"/>
  <cols>
    <col min="1" max="1" width="10.7109375" style="80" bestFit="1" customWidth="1"/>
    <col min="2" max="2" width="2.5703125" style="81" customWidth="1"/>
    <col min="3" max="3" width="38" style="49" customWidth="1"/>
    <col min="4" max="4" width="20.7109375" style="82" customWidth="1"/>
    <col min="5" max="5" width="14.7109375" style="82" customWidth="1"/>
    <col min="6" max="6" width="14.5703125" style="82" bestFit="1" customWidth="1"/>
    <col min="7" max="8" width="14.42578125" style="82" customWidth="1"/>
    <col min="9" max="9" width="34.5703125" style="83" customWidth="1"/>
    <col min="10" max="10" width="25.42578125" style="49" customWidth="1"/>
    <col min="11" max="16384" width="9.140625" style="49"/>
  </cols>
  <sheetData>
    <row r="1" spans="1:10" ht="20.25" customHeight="1">
      <c r="A1" s="325" t="s">
        <v>111</v>
      </c>
      <c r="B1" s="325"/>
      <c r="C1" s="325"/>
      <c r="D1" s="325"/>
      <c r="E1" s="325"/>
      <c r="F1" s="325"/>
      <c r="G1" s="325"/>
      <c r="H1" s="325"/>
      <c r="I1" s="325"/>
      <c r="J1" s="47"/>
    </row>
    <row r="2" spans="1:10" ht="20.25" customHeight="1">
      <c r="A2" s="325" t="s">
        <v>102</v>
      </c>
      <c r="B2" s="325"/>
      <c r="C2" s="325"/>
      <c r="D2" s="325"/>
      <c r="E2" s="325"/>
      <c r="F2" s="325"/>
      <c r="G2" s="325"/>
      <c r="H2" s="325"/>
      <c r="I2" s="325"/>
      <c r="J2" s="47"/>
    </row>
    <row r="3" spans="1:10" ht="20.25" customHeight="1">
      <c r="A3" s="325" t="s">
        <v>270</v>
      </c>
      <c r="B3" s="325"/>
      <c r="C3" s="325"/>
      <c r="D3" s="325"/>
      <c r="E3" s="325"/>
      <c r="F3" s="325"/>
      <c r="G3" s="325"/>
      <c r="H3" s="325"/>
      <c r="I3" s="325"/>
      <c r="J3" s="47"/>
    </row>
    <row r="4" spans="1:10" ht="17.25" customHeight="1">
      <c r="A4" s="48"/>
      <c r="B4" s="48"/>
      <c r="C4" s="48"/>
      <c r="D4" s="48"/>
      <c r="E4" s="48"/>
      <c r="F4" s="48"/>
      <c r="G4" s="48"/>
      <c r="H4" s="48"/>
      <c r="I4" s="50" t="s">
        <v>103</v>
      </c>
      <c r="J4" s="47"/>
    </row>
    <row r="5" spans="1:10" ht="23.1" customHeight="1">
      <c r="A5" s="51" t="s">
        <v>104</v>
      </c>
      <c r="B5" s="52"/>
      <c r="C5" s="53"/>
      <c r="D5" s="103" t="s">
        <v>105</v>
      </c>
      <c r="E5" s="326" t="s">
        <v>47</v>
      </c>
      <c r="F5" s="326" t="s">
        <v>49</v>
      </c>
      <c r="G5" s="328" t="s">
        <v>106</v>
      </c>
      <c r="H5" s="326" t="s">
        <v>107</v>
      </c>
      <c r="I5" s="330" t="s">
        <v>51</v>
      </c>
      <c r="J5" s="47"/>
    </row>
    <row r="6" spans="1:10" ht="23.1" customHeight="1">
      <c r="A6" s="54" t="s">
        <v>108</v>
      </c>
      <c r="B6" s="332"/>
      <c r="C6" s="333"/>
      <c r="D6" s="104" t="s">
        <v>109</v>
      </c>
      <c r="E6" s="327"/>
      <c r="F6" s="327"/>
      <c r="G6" s="329"/>
      <c r="H6" s="327"/>
      <c r="I6" s="331"/>
      <c r="J6" s="47"/>
    </row>
    <row r="7" spans="1:10" ht="23.1" customHeight="1">
      <c r="A7" s="56"/>
      <c r="B7" s="57" t="s">
        <v>271</v>
      </c>
      <c r="C7" s="47"/>
      <c r="D7" s="58"/>
      <c r="E7" s="58"/>
      <c r="F7" s="58"/>
      <c r="G7" s="59"/>
      <c r="H7" s="59"/>
      <c r="I7" s="60"/>
      <c r="J7" s="47"/>
    </row>
    <row r="8" spans="1:10" ht="23.1" customHeight="1">
      <c r="A8" s="56"/>
      <c r="B8" s="206" t="s">
        <v>272</v>
      </c>
      <c r="C8" s="47"/>
      <c r="D8" s="58"/>
      <c r="E8" s="58"/>
      <c r="F8" s="58"/>
      <c r="G8" s="59"/>
      <c r="H8" s="59"/>
      <c r="I8" s="70"/>
      <c r="J8" s="47"/>
    </row>
    <row r="9" spans="1:10" ht="23.1" customHeight="1">
      <c r="A9" s="207" t="s">
        <v>273</v>
      </c>
      <c r="B9" s="62" t="s">
        <v>97</v>
      </c>
      <c r="C9" s="63" t="s">
        <v>274</v>
      </c>
      <c r="D9" s="58">
        <v>2300000</v>
      </c>
      <c r="E9" s="58">
        <v>2293000</v>
      </c>
      <c r="F9" s="58">
        <v>0</v>
      </c>
      <c r="G9" s="64">
        <v>0</v>
      </c>
      <c r="H9" s="59"/>
      <c r="I9" s="65" t="s">
        <v>275</v>
      </c>
      <c r="J9" s="47"/>
    </row>
    <row r="10" spans="1:10" ht="23.1" customHeight="1">
      <c r="A10" s="61"/>
      <c r="B10" s="62"/>
      <c r="C10" s="66"/>
      <c r="D10" s="58"/>
      <c r="E10" s="58"/>
      <c r="F10" s="58"/>
      <c r="G10" s="64"/>
      <c r="H10" s="59"/>
      <c r="I10" s="67" t="s">
        <v>276</v>
      </c>
      <c r="J10" s="47"/>
    </row>
    <row r="11" spans="1:10" ht="23.1" customHeight="1">
      <c r="A11" s="61"/>
      <c r="B11" s="208" t="s">
        <v>339</v>
      </c>
      <c r="C11" s="66"/>
      <c r="D11" s="58"/>
      <c r="E11" s="58"/>
      <c r="F11" s="58"/>
      <c r="G11" s="64"/>
      <c r="H11" s="59"/>
      <c r="I11" s="67"/>
      <c r="J11" s="47"/>
    </row>
    <row r="12" spans="1:10" ht="23.1" customHeight="1">
      <c r="A12" s="207" t="s">
        <v>273</v>
      </c>
      <c r="B12" s="157" t="s">
        <v>110</v>
      </c>
      <c r="C12" s="66" t="s">
        <v>277</v>
      </c>
      <c r="D12" s="58">
        <v>3960000</v>
      </c>
      <c r="E12" s="64">
        <v>0</v>
      </c>
      <c r="F12" s="209">
        <v>0</v>
      </c>
      <c r="G12" s="64">
        <v>0</v>
      </c>
      <c r="H12" s="59">
        <v>3960000</v>
      </c>
      <c r="I12" s="65" t="s">
        <v>275</v>
      </c>
      <c r="J12" s="47"/>
    </row>
    <row r="13" spans="1:10" ht="23.1" customHeight="1">
      <c r="A13" s="61"/>
      <c r="B13" s="62"/>
      <c r="C13" s="47"/>
      <c r="D13" s="58"/>
      <c r="E13" s="58"/>
      <c r="F13" s="58"/>
      <c r="G13" s="59"/>
      <c r="H13" s="59"/>
      <c r="I13" s="67" t="s">
        <v>276</v>
      </c>
      <c r="J13" s="47"/>
    </row>
    <row r="14" spans="1:10" ht="23.1" customHeight="1">
      <c r="A14" s="61"/>
      <c r="B14" s="208"/>
      <c r="C14" s="47"/>
      <c r="D14" s="58"/>
      <c r="E14" s="58"/>
      <c r="F14" s="58"/>
      <c r="G14" s="59"/>
      <c r="H14" s="59"/>
      <c r="I14" s="67"/>
      <c r="J14" s="47"/>
    </row>
    <row r="15" spans="1:10" ht="23.1" customHeight="1">
      <c r="A15" s="56"/>
      <c r="B15" s="157"/>
      <c r="C15" s="68"/>
      <c r="D15" s="58"/>
      <c r="E15" s="58"/>
      <c r="F15" s="58"/>
      <c r="G15" s="59"/>
      <c r="H15" s="59"/>
      <c r="I15" s="65"/>
      <c r="J15" s="69"/>
    </row>
    <row r="16" spans="1:10" ht="23.1" customHeight="1">
      <c r="A16" s="56"/>
      <c r="B16" s="62"/>
      <c r="C16" s="68"/>
      <c r="D16" s="58"/>
      <c r="E16" s="58"/>
      <c r="F16" s="58"/>
      <c r="G16" s="59"/>
      <c r="H16" s="59"/>
      <c r="I16" s="70"/>
      <c r="J16" s="47"/>
    </row>
    <row r="17" spans="1:10" ht="23.1" customHeight="1">
      <c r="A17" s="61"/>
      <c r="B17" s="62"/>
      <c r="C17" s="63"/>
      <c r="D17" s="58"/>
      <c r="E17" s="58"/>
      <c r="F17" s="58"/>
      <c r="G17" s="59"/>
      <c r="H17" s="59"/>
      <c r="I17" s="70"/>
      <c r="J17" s="47"/>
    </row>
    <row r="18" spans="1:10" ht="23.1" customHeight="1">
      <c r="A18" s="71"/>
      <c r="B18" s="62"/>
      <c r="C18" s="63"/>
      <c r="D18" s="58"/>
      <c r="E18" s="58"/>
      <c r="F18" s="58"/>
      <c r="G18" s="59"/>
      <c r="H18" s="59"/>
      <c r="I18" s="72"/>
      <c r="J18" s="47"/>
    </row>
    <row r="19" spans="1:10" ht="23.1" customHeight="1">
      <c r="A19" s="73"/>
      <c r="B19" s="158"/>
      <c r="C19" s="63"/>
      <c r="D19" s="58"/>
      <c r="E19" s="58"/>
      <c r="F19" s="58"/>
      <c r="G19" s="59"/>
      <c r="H19" s="59"/>
      <c r="I19" s="70"/>
      <c r="J19" s="47"/>
    </row>
    <row r="20" spans="1:10" ht="23.1" customHeight="1">
      <c r="A20" s="73"/>
      <c r="B20" s="62"/>
      <c r="C20" s="47"/>
      <c r="D20" s="58"/>
      <c r="E20" s="58"/>
      <c r="F20" s="58"/>
      <c r="G20" s="59"/>
      <c r="H20" s="59"/>
      <c r="I20" s="70"/>
      <c r="J20" s="47"/>
    </row>
    <row r="21" spans="1:10" ht="23.1" customHeight="1" thickBot="1">
      <c r="A21" s="74"/>
      <c r="B21" s="159"/>
      <c r="C21" s="75" t="s">
        <v>63</v>
      </c>
      <c r="D21" s="76">
        <f>SUM(D9:D20)</f>
        <v>6260000</v>
      </c>
      <c r="E21" s="76">
        <f>SUM(E9:E20)</f>
        <v>2293000</v>
      </c>
      <c r="F21" s="76">
        <f>SUM(F9:F20)</f>
        <v>0</v>
      </c>
      <c r="G21" s="76">
        <f>SUM(G9:G20)</f>
        <v>0</v>
      </c>
      <c r="H21" s="76">
        <f>SUM(H9:H20)</f>
        <v>3960000</v>
      </c>
      <c r="I21" s="55"/>
      <c r="J21" s="47"/>
    </row>
    <row r="22" spans="1:10" ht="23.1" customHeight="1" thickTop="1">
      <c r="A22" s="69"/>
      <c r="B22" s="77"/>
      <c r="C22" s="47"/>
      <c r="D22" s="78"/>
      <c r="E22" s="78"/>
      <c r="F22" s="78"/>
      <c r="G22" s="78"/>
      <c r="H22" s="78"/>
      <c r="I22" s="79"/>
      <c r="J22" s="47"/>
    </row>
    <row r="23" spans="1:10" ht="23.1" customHeight="1">
      <c r="A23" s="69"/>
      <c r="B23" s="77"/>
      <c r="C23" s="47"/>
      <c r="D23" s="78"/>
      <c r="E23" s="78"/>
      <c r="F23" s="78"/>
      <c r="G23" s="78"/>
      <c r="H23" s="78"/>
      <c r="I23" s="79"/>
      <c r="J23" s="47"/>
    </row>
    <row r="24" spans="1:10" ht="23.1" customHeight="1">
      <c r="A24" s="69"/>
      <c r="B24" s="77"/>
      <c r="C24" s="47"/>
      <c r="D24" s="78"/>
      <c r="E24" s="78"/>
      <c r="F24" s="78"/>
      <c r="G24" s="78"/>
      <c r="H24" s="78"/>
      <c r="I24" s="79"/>
      <c r="J24" s="47"/>
    </row>
    <row r="25" spans="1:10" ht="23.1" customHeight="1">
      <c r="A25" s="69"/>
      <c r="B25" s="77"/>
      <c r="C25" s="47"/>
      <c r="D25" s="78"/>
      <c r="E25" s="78"/>
      <c r="F25" s="78"/>
      <c r="G25" s="78"/>
      <c r="H25" s="78"/>
      <c r="I25" s="79"/>
      <c r="J25" s="47"/>
    </row>
    <row r="26" spans="1:10" ht="23.1" customHeight="1">
      <c r="A26" s="69"/>
      <c r="B26" s="77"/>
      <c r="C26" s="47"/>
      <c r="D26" s="78"/>
      <c r="E26" s="78"/>
      <c r="F26" s="78"/>
      <c r="G26" s="78"/>
      <c r="H26" s="78"/>
      <c r="I26" s="79"/>
      <c r="J26" s="47"/>
    </row>
    <row r="27" spans="1:10" ht="23.1" customHeight="1">
      <c r="A27" s="69"/>
      <c r="B27" s="77"/>
      <c r="C27" s="47"/>
      <c r="D27" s="78"/>
      <c r="E27" s="78"/>
      <c r="F27" s="78"/>
      <c r="G27" s="78"/>
      <c r="H27" s="78"/>
      <c r="I27" s="79"/>
      <c r="J27" s="47"/>
    </row>
    <row r="28" spans="1:10" ht="23.1" customHeight="1">
      <c r="A28" s="69"/>
      <c r="B28" s="77"/>
      <c r="C28" s="47"/>
      <c r="D28" s="78"/>
      <c r="E28" s="78"/>
      <c r="F28" s="78"/>
      <c r="G28" s="78"/>
      <c r="H28" s="78"/>
      <c r="I28" s="79"/>
      <c r="J28" s="47"/>
    </row>
    <row r="29" spans="1:10" ht="23.1" customHeight="1">
      <c r="A29" s="69"/>
      <c r="B29" s="77"/>
      <c r="C29" s="47"/>
      <c r="D29" s="78"/>
      <c r="E29" s="78"/>
      <c r="F29" s="78"/>
      <c r="G29" s="78"/>
      <c r="H29" s="78"/>
      <c r="I29" s="79"/>
      <c r="J29" s="47"/>
    </row>
    <row r="30" spans="1:10" ht="23.1" customHeight="1">
      <c r="A30" s="69"/>
      <c r="B30" s="77"/>
      <c r="C30" s="47"/>
      <c r="D30" s="78"/>
      <c r="E30" s="78"/>
      <c r="F30" s="78"/>
      <c r="G30" s="78"/>
      <c r="H30" s="78"/>
      <c r="I30" s="79"/>
      <c r="J30" s="47"/>
    </row>
    <row r="31" spans="1:10" ht="23.1" customHeight="1">
      <c r="A31" s="69"/>
      <c r="B31" s="77"/>
      <c r="C31" s="47"/>
      <c r="D31" s="78"/>
      <c r="E31" s="78"/>
      <c r="F31" s="78"/>
      <c r="G31" s="78"/>
      <c r="H31" s="78"/>
      <c r="I31" s="79"/>
      <c r="J31" s="47"/>
    </row>
    <row r="32" spans="1:10" ht="23.1" customHeight="1">
      <c r="A32" s="69"/>
      <c r="B32" s="77"/>
      <c r="C32" s="47"/>
      <c r="D32" s="78"/>
      <c r="E32" s="78"/>
      <c r="F32" s="78"/>
      <c r="G32" s="78"/>
      <c r="H32" s="78"/>
      <c r="I32" s="79"/>
      <c r="J32" s="47"/>
    </row>
    <row r="33" spans="1:10" ht="23.1" customHeight="1">
      <c r="A33" s="69"/>
      <c r="B33" s="77"/>
      <c r="C33" s="47"/>
      <c r="D33" s="78"/>
      <c r="E33" s="78"/>
      <c r="F33" s="78"/>
      <c r="G33" s="78"/>
      <c r="H33" s="78"/>
      <c r="I33" s="79"/>
      <c r="J33" s="47"/>
    </row>
    <row r="34" spans="1:10" ht="23.1" customHeight="1">
      <c r="A34" s="69"/>
      <c r="B34" s="77"/>
      <c r="C34" s="47"/>
      <c r="D34" s="78"/>
      <c r="E34" s="78"/>
      <c r="F34" s="78"/>
      <c r="G34" s="78"/>
      <c r="H34" s="78"/>
      <c r="I34" s="79"/>
      <c r="J34" s="47"/>
    </row>
    <row r="35" spans="1:10" ht="23.1" customHeight="1">
      <c r="A35" s="69"/>
      <c r="B35" s="77"/>
      <c r="C35" s="47"/>
      <c r="D35" s="78"/>
      <c r="E35" s="78"/>
      <c r="F35" s="78"/>
      <c r="G35" s="78"/>
      <c r="H35" s="78"/>
      <c r="I35" s="79"/>
      <c r="J35" s="47"/>
    </row>
    <row r="36" spans="1:10" ht="23.1" customHeight="1">
      <c r="A36" s="69"/>
      <c r="B36" s="77"/>
      <c r="C36" s="47"/>
      <c r="D36" s="78"/>
      <c r="E36" s="78"/>
      <c r="F36" s="78"/>
      <c r="G36" s="78"/>
      <c r="H36" s="78"/>
      <c r="I36" s="79"/>
      <c r="J36" s="47"/>
    </row>
    <row r="37" spans="1:10" ht="23.1" customHeight="1">
      <c r="A37" s="69"/>
      <c r="B37" s="77"/>
      <c r="C37" s="47"/>
      <c r="D37" s="78"/>
      <c r="E37" s="78"/>
      <c r="F37" s="78"/>
      <c r="G37" s="78"/>
      <c r="H37" s="78"/>
      <c r="I37" s="79"/>
      <c r="J37" s="47"/>
    </row>
    <row r="38" spans="1:10" ht="23.1" customHeight="1">
      <c r="A38" s="69"/>
      <c r="B38" s="77"/>
      <c r="C38" s="47"/>
      <c r="D38" s="78"/>
      <c r="E38" s="78"/>
      <c r="F38" s="78"/>
      <c r="G38" s="78"/>
      <c r="H38" s="78"/>
      <c r="I38" s="79"/>
      <c r="J38" s="47"/>
    </row>
    <row r="39" spans="1:10" ht="23.1" customHeight="1">
      <c r="A39" s="69"/>
      <c r="B39" s="77"/>
      <c r="C39" s="47"/>
      <c r="D39" s="78"/>
      <c r="E39" s="78"/>
      <c r="F39" s="78"/>
      <c r="G39" s="78"/>
      <c r="H39" s="78"/>
      <c r="I39" s="79"/>
      <c r="J39" s="47"/>
    </row>
    <row r="40" spans="1:10" ht="23.1" customHeight="1">
      <c r="A40" s="69"/>
      <c r="B40" s="77"/>
      <c r="C40" s="47"/>
      <c r="D40" s="78"/>
      <c r="E40" s="78"/>
      <c r="F40" s="78"/>
      <c r="G40" s="78"/>
      <c r="H40" s="78"/>
      <c r="I40" s="79"/>
      <c r="J40" s="47"/>
    </row>
    <row r="41" spans="1:10" ht="23.1" customHeight="1">
      <c r="A41" s="69"/>
      <c r="B41" s="77"/>
      <c r="C41" s="47"/>
      <c r="D41" s="78"/>
      <c r="E41" s="78"/>
      <c r="F41" s="78"/>
      <c r="G41" s="78"/>
      <c r="H41" s="78"/>
      <c r="I41" s="79"/>
      <c r="J41" s="47"/>
    </row>
    <row r="42" spans="1:10" ht="23.1" customHeight="1">
      <c r="A42" s="69"/>
      <c r="B42" s="77"/>
      <c r="C42" s="47"/>
      <c r="D42" s="78"/>
      <c r="E42" s="78"/>
      <c r="F42" s="78"/>
      <c r="G42" s="78"/>
      <c r="H42" s="78"/>
      <c r="I42" s="79"/>
      <c r="J42" s="47"/>
    </row>
    <row r="43" spans="1:10" ht="23.1" customHeight="1">
      <c r="A43" s="69"/>
      <c r="B43" s="77"/>
      <c r="C43" s="47"/>
      <c r="D43" s="78"/>
      <c r="E43" s="78"/>
      <c r="F43" s="78"/>
      <c r="G43" s="78"/>
      <c r="H43" s="78"/>
      <c r="I43" s="79"/>
      <c r="J43" s="47"/>
    </row>
    <row r="44" spans="1:10" ht="23.1" customHeight="1">
      <c r="A44" s="69"/>
      <c r="B44" s="77"/>
      <c r="C44" s="47"/>
      <c r="D44" s="78"/>
      <c r="E44" s="78"/>
      <c r="F44" s="78"/>
      <c r="G44" s="78"/>
      <c r="H44" s="78"/>
      <c r="I44" s="79"/>
      <c r="J44" s="47"/>
    </row>
    <row r="45" spans="1:10" ht="23.1" customHeight="1">
      <c r="A45" s="69"/>
      <c r="B45" s="77"/>
      <c r="C45" s="47"/>
      <c r="D45" s="78"/>
      <c r="E45" s="78"/>
      <c r="F45" s="78"/>
      <c r="G45" s="78"/>
      <c r="H45" s="78"/>
      <c r="I45" s="79"/>
      <c r="J45" s="47"/>
    </row>
    <row r="46" spans="1:10" ht="23.1" customHeight="1">
      <c r="A46" s="69"/>
      <c r="B46" s="77"/>
      <c r="C46" s="47"/>
      <c r="D46" s="78"/>
      <c r="E46" s="78"/>
      <c r="F46" s="78"/>
      <c r="G46" s="78"/>
      <c r="H46" s="78"/>
      <c r="I46" s="79"/>
      <c r="J46" s="47"/>
    </row>
    <row r="47" spans="1:10" ht="23.1" customHeight="1">
      <c r="A47" s="69"/>
      <c r="B47" s="77"/>
      <c r="C47" s="47"/>
      <c r="D47" s="78"/>
      <c r="E47" s="78"/>
      <c r="F47" s="78"/>
      <c r="G47" s="78"/>
      <c r="H47" s="78"/>
      <c r="I47" s="79"/>
      <c r="J47" s="47"/>
    </row>
    <row r="48" spans="1:10" ht="23.1" customHeight="1">
      <c r="A48" s="69"/>
      <c r="B48" s="77"/>
      <c r="C48" s="47"/>
      <c r="D48" s="78"/>
      <c r="E48" s="78"/>
      <c r="F48" s="78"/>
      <c r="G48" s="78"/>
      <c r="H48" s="78"/>
      <c r="I48" s="79"/>
      <c r="J48" s="47"/>
    </row>
    <row r="49" spans="1:10" ht="23.1" customHeight="1">
      <c r="A49" s="69"/>
      <c r="B49" s="77"/>
      <c r="C49" s="47"/>
      <c r="D49" s="78"/>
      <c r="E49" s="78"/>
      <c r="F49" s="78"/>
      <c r="G49" s="78"/>
      <c r="H49" s="78"/>
      <c r="I49" s="79"/>
      <c r="J49" s="47"/>
    </row>
    <row r="50" spans="1:10" ht="23.1" customHeight="1">
      <c r="A50" s="69"/>
      <c r="B50" s="77"/>
      <c r="C50" s="47"/>
      <c r="D50" s="78"/>
      <c r="E50" s="78"/>
      <c r="F50" s="78"/>
      <c r="G50" s="78"/>
      <c r="H50" s="78"/>
      <c r="I50" s="79"/>
      <c r="J50" s="47"/>
    </row>
    <row r="51" spans="1:10" ht="23.1" customHeight="1">
      <c r="A51" s="69"/>
      <c r="B51" s="77"/>
      <c r="C51" s="47"/>
      <c r="D51" s="78"/>
      <c r="E51" s="78"/>
      <c r="F51" s="78"/>
      <c r="G51" s="78"/>
      <c r="H51" s="78"/>
      <c r="I51" s="79"/>
      <c r="J51" s="47"/>
    </row>
    <row r="52" spans="1:10" ht="23.1" customHeight="1">
      <c r="A52" s="69"/>
      <c r="B52" s="77"/>
      <c r="C52" s="47"/>
      <c r="D52" s="78"/>
      <c r="E52" s="78"/>
      <c r="F52" s="78"/>
      <c r="G52" s="78"/>
      <c r="H52" s="78"/>
      <c r="I52" s="79"/>
      <c r="J52" s="47"/>
    </row>
    <row r="53" spans="1:10" ht="23.1" customHeight="1">
      <c r="A53" s="69"/>
      <c r="B53" s="77"/>
      <c r="C53" s="47"/>
      <c r="D53" s="78"/>
      <c r="E53" s="78"/>
      <c r="F53" s="78"/>
      <c r="G53" s="78"/>
      <c r="H53" s="78"/>
      <c r="I53" s="79"/>
      <c r="J53" s="47"/>
    </row>
    <row r="54" spans="1:10" ht="23.1" customHeight="1">
      <c r="A54" s="69"/>
      <c r="B54" s="77"/>
      <c r="C54" s="47"/>
      <c r="D54" s="78"/>
      <c r="E54" s="78"/>
      <c r="F54" s="78"/>
      <c r="G54" s="78"/>
      <c r="H54" s="78"/>
      <c r="I54" s="79"/>
      <c r="J54" s="47"/>
    </row>
    <row r="55" spans="1:10" ht="23.1" customHeight="1">
      <c r="A55" s="69"/>
      <c r="B55" s="77"/>
      <c r="C55" s="47"/>
      <c r="D55" s="78"/>
      <c r="E55" s="78"/>
      <c r="F55" s="78"/>
      <c r="G55" s="78"/>
      <c r="H55" s="78"/>
      <c r="I55" s="79"/>
      <c r="J55" s="47"/>
    </row>
    <row r="56" spans="1:10" ht="23.1" customHeight="1">
      <c r="A56" s="69"/>
      <c r="B56" s="77"/>
      <c r="C56" s="47"/>
      <c r="D56" s="78"/>
      <c r="E56" s="78"/>
      <c r="F56" s="78"/>
      <c r="G56" s="78"/>
      <c r="H56" s="78"/>
      <c r="I56" s="79"/>
      <c r="J56" s="47"/>
    </row>
    <row r="57" spans="1:10" ht="23.1" customHeight="1">
      <c r="A57" s="69"/>
      <c r="B57" s="77"/>
      <c r="C57" s="47"/>
      <c r="D57" s="78"/>
      <c r="E57" s="78"/>
      <c r="F57" s="78"/>
      <c r="G57" s="78"/>
      <c r="H57" s="78"/>
      <c r="I57" s="79"/>
      <c r="J57" s="47"/>
    </row>
    <row r="58" spans="1:10" ht="23.1" customHeight="1">
      <c r="A58" s="69"/>
      <c r="B58" s="77"/>
      <c r="C58" s="47"/>
      <c r="D58" s="78"/>
      <c r="E58" s="78"/>
      <c r="F58" s="78"/>
      <c r="G58" s="78"/>
      <c r="H58" s="78"/>
      <c r="I58" s="79"/>
      <c r="J58" s="47"/>
    </row>
    <row r="59" spans="1:10" ht="23.1" customHeight="1">
      <c r="A59" s="69"/>
      <c r="B59" s="77"/>
      <c r="C59" s="47"/>
      <c r="D59" s="78"/>
      <c r="E59" s="78"/>
      <c r="F59" s="78"/>
      <c r="G59" s="78"/>
      <c r="H59" s="78"/>
      <c r="I59" s="79"/>
      <c r="J59" s="47"/>
    </row>
    <row r="60" spans="1:10" ht="23.1" customHeight="1">
      <c r="A60" s="69"/>
      <c r="B60" s="77"/>
      <c r="C60" s="47"/>
      <c r="D60" s="78"/>
      <c r="E60" s="78"/>
      <c r="F60" s="78"/>
      <c r="G60" s="78"/>
      <c r="H60" s="78"/>
      <c r="I60" s="79"/>
      <c r="J60" s="47"/>
    </row>
    <row r="61" spans="1:10" ht="23.1" customHeight="1">
      <c r="A61" s="69"/>
      <c r="B61" s="77"/>
      <c r="C61" s="47"/>
      <c r="D61" s="78"/>
      <c r="E61" s="78"/>
      <c r="F61" s="78"/>
      <c r="G61" s="78"/>
      <c r="H61" s="78"/>
      <c r="I61" s="79"/>
      <c r="J61" s="47"/>
    </row>
    <row r="62" spans="1:10" ht="23.1" customHeight="1">
      <c r="A62" s="69"/>
      <c r="B62" s="77"/>
      <c r="C62" s="47"/>
      <c r="D62" s="78"/>
      <c r="E62" s="78"/>
      <c r="F62" s="78"/>
      <c r="G62" s="78"/>
      <c r="H62" s="78"/>
      <c r="I62" s="79"/>
      <c r="J62" s="47"/>
    </row>
    <row r="63" spans="1:10" ht="23.1" customHeight="1">
      <c r="A63" s="69"/>
      <c r="B63" s="77"/>
      <c r="C63" s="47"/>
      <c r="D63" s="78"/>
      <c r="E63" s="78"/>
      <c r="F63" s="78"/>
      <c r="G63" s="78"/>
      <c r="H63" s="78"/>
      <c r="I63" s="79"/>
      <c r="J63" s="47"/>
    </row>
    <row r="64" spans="1:10" ht="23.1" customHeight="1">
      <c r="A64" s="69"/>
      <c r="B64" s="77"/>
      <c r="C64" s="47"/>
      <c r="D64" s="78"/>
      <c r="E64" s="78"/>
      <c r="F64" s="78"/>
      <c r="G64" s="78"/>
      <c r="H64" s="78"/>
      <c r="I64" s="79"/>
      <c r="J64" s="47"/>
    </row>
    <row r="65" spans="1:10" ht="23.1" customHeight="1">
      <c r="A65" s="69"/>
      <c r="B65" s="77"/>
      <c r="C65" s="47"/>
      <c r="D65" s="78"/>
      <c r="E65" s="78"/>
      <c r="F65" s="78"/>
      <c r="G65" s="78"/>
      <c r="H65" s="78"/>
      <c r="I65" s="79"/>
      <c r="J65" s="47"/>
    </row>
    <row r="66" spans="1:10" ht="23.1" customHeight="1">
      <c r="A66" s="69"/>
      <c r="B66" s="77"/>
      <c r="C66" s="47"/>
      <c r="D66" s="78"/>
      <c r="E66" s="78"/>
      <c r="F66" s="78"/>
      <c r="G66" s="78"/>
      <c r="H66" s="78"/>
      <c r="I66" s="79"/>
      <c r="J66" s="47"/>
    </row>
    <row r="67" spans="1:10" ht="23.1" customHeight="1">
      <c r="A67" s="69"/>
      <c r="B67" s="77"/>
      <c r="C67" s="47"/>
      <c r="D67" s="78"/>
      <c r="E67" s="78"/>
      <c r="F67" s="78"/>
      <c r="G67" s="78"/>
      <c r="H67" s="78"/>
      <c r="I67" s="79"/>
      <c r="J67" s="47"/>
    </row>
    <row r="68" spans="1:10" ht="23.1" customHeight="1">
      <c r="A68" s="69"/>
      <c r="B68" s="77"/>
      <c r="C68" s="47"/>
      <c r="D68" s="78"/>
      <c r="E68" s="78"/>
      <c r="F68" s="78"/>
      <c r="G68" s="78"/>
      <c r="H68" s="78"/>
      <c r="I68" s="79"/>
      <c r="J68" s="47"/>
    </row>
    <row r="69" spans="1:10" ht="23.1" customHeight="1">
      <c r="A69" s="69"/>
      <c r="B69" s="77"/>
      <c r="C69" s="47"/>
      <c r="D69" s="78"/>
      <c r="E69" s="78"/>
      <c r="F69" s="78"/>
      <c r="G69" s="78"/>
      <c r="H69" s="78"/>
      <c r="I69" s="79"/>
      <c r="J69" s="47"/>
    </row>
    <row r="70" spans="1:10" ht="23.1" customHeight="1">
      <c r="A70" s="69"/>
      <c r="B70" s="77"/>
      <c r="C70" s="47"/>
      <c r="D70" s="78"/>
      <c r="E70" s="78"/>
      <c r="F70" s="78"/>
      <c r="G70" s="78"/>
      <c r="H70" s="78"/>
      <c r="I70" s="79"/>
      <c r="J70" s="47"/>
    </row>
    <row r="71" spans="1:10" ht="23.1" customHeight="1">
      <c r="A71" s="69"/>
      <c r="B71" s="77"/>
      <c r="C71" s="47"/>
      <c r="D71" s="78"/>
      <c r="E71" s="78"/>
      <c r="F71" s="78"/>
      <c r="G71" s="78"/>
      <c r="H71" s="78"/>
      <c r="I71" s="79"/>
      <c r="J71" s="47"/>
    </row>
  </sheetData>
  <mergeCells count="9">
    <mergeCell ref="A1:I1"/>
    <mergeCell ref="A2:I2"/>
    <mergeCell ref="A3:I3"/>
    <mergeCell ref="E5:E6"/>
    <mergeCell ref="F5:F6"/>
    <mergeCell ref="G5:G6"/>
    <mergeCell ref="H5:H6"/>
    <mergeCell ref="I5:I6"/>
    <mergeCell ref="B6:C6"/>
  </mergeCells>
  <phoneticPr fontId="54" type="noConversion"/>
  <pageMargins left="0.57999999999999996" right="0.27559055118110237" top="0.79" bottom="0.31496062992125984" header="0.51181102362204722" footer="0.31496062992125984"/>
  <pageSetup paperSize="9" scale="85"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2"/>
  <sheetViews>
    <sheetView tabSelected="1" topLeftCell="A3" zoomScale="130" zoomScaleNormal="130" workbookViewId="0">
      <selection activeCell="F13" sqref="F13"/>
    </sheetView>
  </sheetViews>
  <sheetFormatPr defaultRowHeight="24"/>
  <cols>
    <col min="1" max="1" width="29.42578125" style="161" customWidth="1"/>
    <col min="2" max="2" width="13.5703125" style="161" hidden="1" customWidth="1"/>
    <col min="3" max="3" width="12.5703125" style="161" hidden="1" customWidth="1"/>
    <col min="4" max="5" width="15.5703125" style="161" customWidth="1"/>
    <col min="6" max="16" width="13.42578125" style="161" customWidth="1"/>
    <col min="17" max="16384" width="9.140625" style="161"/>
  </cols>
  <sheetData>
    <row r="1" spans="1:21" ht="27.75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21" ht="27.75">
      <c r="A2" s="334" t="s">
        <v>70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</row>
    <row r="3" spans="1:21" ht="27.75">
      <c r="A3" s="334" t="s">
        <v>175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</row>
    <row r="4" spans="1:21" ht="27.75">
      <c r="A4" s="335" t="s">
        <v>278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21" ht="27.7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</row>
    <row r="6" spans="1:21" ht="56.25">
      <c r="A6" s="163" t="s">
        <v>76</v>
      </c>
      <c r="B6" s="163" t="s">
        <v>77</v>
      </c>
      <c r="C6" s="163" t="s">
        <v>78</v>
      </c>
      <c r="D6" s="163" t="s">
        <v>77</v>
      </c>
      <c r="E6" s="163" t="s">
        <v>36</v>
      </c>
      <c r="F6" s="163" t="s">
        <v>79</v>
      </c>
      <c r="G6" s="163" t="s">
        <v>112</v>
      </c>
      <c r="H6" s="163" t="s">
        <v>113</v>
      </c>
      <c r="I6" s="163" t="s">
        <v>114</v>
      </c>
      <c r="J6" s="163" t="s">
        <v>115</v>
      </c>
      <c r="K6" s="163" t="s">
        <v>116</v>
      </c>
      <c r="L6" s="163" t="s">
        <v>117</v>
      </c>
      <c r="M6" s="163" t="s">
        <v>118</v>
      </c>
      <c r="N6" s="163" t="s">
        <v>119</v>
      </c>
      <c r="O6" s="163" t="s">
        <v>120</v>
      </c>
      <c r="P6" s="163" t="s">
        <v>82</v>
      </c>
      <c r="Q6" s="164"/>
      <c r="R6" s="164"/>
      <c r="S6" s="164"/>
      <c r="T6" s="164"/>
      <c r="U6" s="164"/>
    </row>
    <row r="7" spans="1:21" hidden="1">
      <c r="A7" s="165"/>
      <c r="B7" s="165"/>
      <c r="C7" s="165"/>
      <c r="D7" s="165"/>
      <c r="E7" s="165"/>
      <c r="F7" s="165"/>
      <c r="G7" s="166" t="s">
        <v>121</v>
      </c>
      <c r="H7" s="166" t="s">
        <v>122</v>
      </c>
      <c r="I7" s="166" t="s">
        <v>123</v>
      </c>
      <c r="J7" s="166" t="s">
        <v>124</v>
      </c>
      <c r="K7" s="166" t="s">
        <v>125</v>
      </c>
      <c r="L7" s="166" t="s">
        <v>126</v>
      </c>
      <c r="M7" s="166" t="s">
        <v>127</v>
      </c>
      <c r="N7" s="166" t="s">
        <v>128</v>
      </c>
      <c r="O7" s="166" t="s">
        <v>129</v>
      </c>
      <c r="P7" s="166" t="s">
        <v>130</v>
      </c>
      <c r="Q7" s="164"/>
      <c r="R7" s="164"/>
      <c r="S7" s="164"/>
      <c r="T7" s="164"/>
      <c r="U7" s="164"/>
    </row>
    <row r="8" spans="1:21" s="169" customFormat="1" ht="21.75">
      <c r="A8" s="167" t="s">
        <v>81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</row>
    <row r="9" spans="1:21" s="169" customFormat="1" ht="21.75">
      <c r="A9" s="168" t="s">
        <v>134</v>
      </c>
      <c r="B9" s="170">
        <f>จ่ายจากเงินรายรับ!B9</f>
        <v>1694530</v>
      </c>
      <c r="C9" s="171">
        <f>จ่ายจากเงินรายรับ!C9</f>
        <v>-57500</v>
      </c>
      <c r="D9" s="170">
        <v>1637030</v>
      </c>
      <c r="E9" s="170">
        <v>13205744</v>
      </c>
      <c r="F9" s="170">
        <v>0</v>
      </c>
      <c r="G9" s="170">
        <v>0</v>
      </c>
      <c r="H9" s="170">
        <v>42050</v>
      </c>
      <c r="I9" s="170">
        <v>0</v>
      </c>
      <c r="J9" s="170">
        <v>0</v>
      </c>
      <c r="K9" s="170">
        <v>0</v>
      </c>
      <c r="L9" s="170">
        <v>0</v>
      </c>
      <c r="M9" s="170">
        <v>0</v>
      </c>
      <c r="N9" s="170">
        <v>0</v>
      </c>
      <c r="O9" s="170">
        <v>0</v>
      </c>
      <c r="P9" s="170">
        <v>13163694</v>
      </c>
    </row>
    <row r="10" spans="1:21" s="169" customFormat="1" ht="21.75">
      <c r="A10" s="168" t="s">
        <v>83</v>
      </c>
      <c r="B10" s="170">
        <f>จ่ายจากเงินรายรับ!B10</f>
        <v>2928480</v>
      </c>
      <c r="C10" s="171">
        <f>จ่ายจากเงินรายรับ!C10</f>
        <v>0</v>
      </c>
      <c r="D10" s="170">
        <v>2928480</v>
      </c>
      <c r="E10" s="170">
        <v>2624640</v>
      </c>
      <c r="F10" s="170">
        <v>2624640</v>
      </c>
      <c r="G10" s="170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</row>
    <row r="11" spans="1:21" s="169" customFormat="1" ht="21.75">
      <c r="A11" s="168" t="s">
        <v>144</v>
      </c>
      <c r="B11" s="170">
        <f>จ่ายจากเงินรายรับ!B11</f>
        <v>6701080</v>
      </c>
      <c r="C11" s="171">
        <f>จ่ายจากเงินรายรับ!C11</f>
        <v>196020</v>
      </c>
      <c r="D11" s="170">
        <v>6897100</v>
      </c>
      <c r="E11" s="170">
        <v>7489444.46</v>
      </c>
      <c r="F11" s="170">
        <v>3721585.79</v>
      </c>
      <c r="G11" s="170">
        <v>307037</v>
      </c>
      <c r="H11" s="170">
        <v>1750320</v>
      </c>
      <c r="I11" s="170">
        <v>72000</v>
      </c>
      <c r="J11" s="170">
        <v>0</v>
      </c>
      <c r="K11" s="170">
        <v>1458501.67</v>
      </c>
      <c r="L11" s="170">
        <v>0</v>
      </c>
      <c r="M11" s="170">
        <v>0</v>
      </c>
      <c r="N11" s="170">
        <v>180000</v>
      </c>
      <c r="O11" s="170">
        <v>0</v>
      </c>
      <c r="P11" s="170">
        <v>0</v>
      </c>
    </row>
    <row r="12" spans="1:21" s="169" customFormat="1" ht="21.75">
      <c r="A12" s="168" t="s">
        <v>326</v>
      </c>
      <c r="B12" s="170">
        <f>จ่ายจากเงินรายรับ!B12</f>
        <v>2376400</v>
      </c>
      <c r="C12" s="171">
        <f>จ่ายจากเงินรายรับ!C12</f>
        <v>6800</v>
      </c>
      <c r="D12" s="170">
        <v>2383200</v>
      </c>
      <c r="E12" s="170">
        <v>2028302.5</v>
      </c>
      <c r="F12" s="170">
        <v>953740.5</v>
      </c>
      <c r="G12" s="170">
        <v>219660</v>
      </c>
      <c r="H12" s="170">
        <v>345357</v>
      </c>
      <c r="I12" s="170">
        <v>43000</v>
      </c>
      <c r="J12" s="170">
        <v>0</v>
      </c>
      <c r="K12" s="170">
        <v>386194</v>
      </c>
      <c r="L12" s="170">
        <v>0</v>
      </c>
      <c r="M12" s="170">
        <v>0</v>
      </c>
      <c r="N12" s="170">
        <v>80351</v>
      </c>
      <c r="O12" s="170">
        <v>0</v>
      </c>
      <c r="P12" s="170">
        <v>0</v>
      </c>
    </row>
    <row r="13" spans="1:21" s="169" customFormat="1" ht="21.75">
      <c r="A13" s="168" t="s">
        <v>327</v>
      </c>
      <c r="B13" s="170">
        <f>จ่ายจากเงินรายรับ!B13</f>
        <v>5554760</v>
      </c>
      <c r="C13" s="171">
        <f>จ่ายจากเงินรายรับ!C13</f>
        <v>-576620</v>
      </c>
      <c r="D13" s="170">
        <v>4978140</v>
      </c>
      <c r="E13" s="170">
        <v>3705239.78</v>
      </c>
      <c r="F13" s="170">
        <v>1331462.5799999998</v>
      </c>
      <c r="G13" s="170">
        <v>246161.12</v>
      </c>
      <c r="H13" s="170">
        <v>1021221</v>
      </c>
      <c r="I13" s="170">
        <v>100502.2</v>
      </c>
      <c r="J13" s="170">
        <v>0</v>
      </c>
      <c r="K13" s="170">
        <v>108184.23999999999</v>
      </c>
      <c r="L13" s="170">
        <v>186316.2</v>
      </c>
      <c r="M13" s="170">
        <v>574495</v>
      </c>
      <c r="N13" s="170">
        <v>111409.44</v>
      </c>
      <c r="O13" s="170">
        <v>3768</v>
      </c>
      <c r="P13" s="170">
        <v>21720</v>
      </c>
    </row>
    <row r="14" spans="1:21" s="169" customFormat="1" ht="21.75">
      <c r="A14" s="168" t="s">
        <v>328</v>
      </c>
      <c r="B14" s="170">
        <f>จ่ายจากเงินรายรับ!B14</f>
        <v>3211100</v>
      </c>
      <c r="C14" s="171">
        <f>จ่ายจากเงินรายรับ!C14</f>
        <v>15800</v>
      </c>
      <c r="D14" s="170">
        <v>3226900</v>
      </c>
      <c r="E14" s="170">
        <v>2772487.81</v>
      </c>
      <c r="F14" s="170">
        <v>330783</v>
      </c>
      <c r="G14" s="170">
        <v>174810</v>
      </c>
      <c r="H14" s="170">
        <v>1673996.81</v>
      </c>
      <c r="I14" s="170">
        <v>0</v>
      </c>
      <c r="J14" s="170">
        <v>0</v>
      </c>
      <c r="K14" s="170">
        <v>554148</v>
      </c>
      <c r="L14" s="170">
        <v>0</v>
      </c>
      <c r="M14" s="170">
        <v>10350</v>
      </c>
      <c r="N14" s="170">
        <v>25120</v>
      </c>
      <c r="O14" s="170">
        <v>0</v>
      </c>
      <c r="P14" s="170">
        <v>3280</v>
      </c>
    </row>
    <row r="15" spans="1:21" s="169" customFormat="1" ht="21.75">
      <c r="A15" s="168" t="s">
        <v>88</v>
      </c>
      <c r="B15" s="170">
        <f>จ่ายจากเงินรายรับ!B15</f>
        <v>558000</v>
      </c>
      <c r="C15" s="171">
        <f>จ่ายจากเงินรายรับ!C15</f>
        <v>75000</v>
      </c>
      <c r="D15" s="170">
        <v>633000</v>
      </c>
      <c r="E15" s="170">
        <v>508954.6</v>
      </c>
      <c r="F15" s="170">
        <v>394265.87</v>
      </c>
      <c r="G15" s="170">
        <v>0</v>
      </c>
      <c r="H15" s="170">
        <v>33127.440000000002</v>
      </c>
      <c r="I15" s="170">
        <v>0</v>
      </c>
      <c r="J15" s="170">
        <v>0</v>
      </c>
      <c r="K15" s="170">
        <v>2000</v>
      </c>
      <c r="L15" s="170">
        <v>0</v>
      </c>
      <c r="M15" s="170">
        <v>0</v>
      </c>
      <c r="N15" s="170">
        <v>0</v>
      </c>
      <c r="O15" s="170">
        <v>79561.289999999994</v>
      </c>
      <c r="P15" s="170">
        <v>0</v>
      </c>
    </row>
    <row r="16" spans="1:21" s="169" customFormat="1" ht="21.75">
      <c r="A16" s="168" t="s">
        <v>329</v>
      </c>
      <c r="B16" s="170">
        <f>จ่ายจากเงินรายรับ!B16</f>
        <v>582950</v>
      </c>
      <c r="C16" s="171">
        <f>จ่ายจากเงินรายรับ!C16</f>
        <v>0</v>
      </c>
      <c r="D16" s="170">
        <v>582950</v>
      </c>
      <c r="E16" s="170">
        <v>586580</v>
      </c>
      <c r="F16" s="170">
        <v>188310</v>
      </c>
      <c r="G16" s="170">
        <v>107800</v>
      </c>
      <c r="H16" s="170">
        <v>190920</v>
      </c>
      <c r="I16" s="170">
        <v>0</v>
      </c>
      <c r="J16" s="170">
        <v>0</v>
      </c>
      <c r="K16" s="170">
        <v>67550</v>
      </c>
      <c r="L16" s="170">
        <v>0</v>
      </c>
      <c r="M16" s="170">
        <v>0</v>
      </c>
      <c r="N16" s="170">
        <v>32000</v>
      </c>
      <c r="O16" s="170">
        <v>0</v>
      </c>
      <c r="P16" s="170">
        <v>0</v>
      </c>
    </row>
    <row r="17" spans="1:16" s="169" customFormat="1" ht="21.75">
      <c r="A17" s="168" t="s">
        <v>90</v>
      </c>
      <c r="B17" s="170">
        <f>จ่ายจากเงินรายรับ!B17</f>
        <v>9542900</v>
      </c>
      <c r="C17" s="171">
        <f>จ่ายจากเงินรายรับ!C17</f>
        <v>448000</v>
      </c>
      <c r="D17" s="170">
        <v>9990900</v>
      </c>
      <c r="E17" s="170">
        <v>9919543.6999999993</v>
      </c>
      <c r="F17" s="170">
        <v>0</v>
      </c>
      <c r="G17" s="170">
        <v>277500</v>
      </c>
      <c r="H17" s="170">
        <v>0</v>
      </c>
      <c r="I17" s="170">
        <v>0</v>
      </c>
      <c r="J17" s="170">
        <v>0</v>
      </c>
      <c r="K17" s="170">
        <v>9642043.6999999993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</row>
    <row r="18" spans="1:16" s="169" customFormat="1" ht="21.75">
      <c r="A18" s="168" t="s">
        <v>91</v>
      </c>
      <c r="B18" s="170">
        <f>จ่ายจากเงินรายรับ!B18</f>
        <v>2422800</v>
      </c>
      <c r="C18" s="171">
        <f>จ่ายจากเงินรายรับ!C18</f>
        <v>-107500</v>
      </c>
      <c r="D18" s="170">
        <v>2315300</v>
      </c>
      <c r="E18" s="170">
        <v>2253573.0499999998</v>
      </c>
      <c r="F18" s="170">
        <v>0</v>
      </c>
      <c r="G18" s="170">
        <v>0</v>
      </c>
      <c r="H18" s="170">
        <v>1437800</v>
      </c>
      <c r="I18" s="170">
        <v>303220</v>
      </c>
      <c r="J18" s="170">
        <v>0</v>
      </c>
      <c r="K18" s="170">
        <v>512553.05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</row>
    <row r="19" spans="1:16" s="169" customFormat="1" ht="21.75">
      <c r="A19" s="172" t="s">
        <v>92</v>
      </c>
      <c r="B19" s="170">
        <f>จ่ายจากเงินรายรับ!B19</f>
        <v>30000</v>
      </c>
      <c r="C19" s="171">
        <f>จ่ายจากเงินรายรับ!C19</f>
        <v>0</v>
      </c>
      <c r="D19" s="170">
        <v>30000</v>
      </c>
      <c r="E19" s="170">
        <v>25000</v>
      </c>
      <c r="F19" s="170">
        <v>25000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</row>
    <row r="20" spans="1:16" s="169" customFormat="1" ht="22.5" thickBot="1">
      <c r="A20" s="173" t="s">
        <v>36</v>
      </c>
      <c r="B20" s="174">
        <f t="shared" ref="B20" si="0">SUM(B9:B19)</f>
        <v>35603000</v>
      </c>
      <c r="C20" s="174">
        <f>SUM(C9:C19)</f>
        <v>0</v>
      </c>
      <c r="D20" s="174">
        <v>35603000</v>
      </c>
      <c r="E20" s="174">
        <v>45119509.899999999</v>
      </c>
      <c r="F20" s="174">
        <v>9569787.7399999984</v>
      </c>
      <c r="G20" s="174">
        <v>1332968.1200000001</v>
      </c>
      <c r="H20" s="174">
        <v>6494792.2500000009</v>
      </c>
      <c r="I20" s="174">
        <v>518722.2</v>
      </c>
      <c r="J20" s="174">
        <v>0</v>
      </c>
      <c r="K20" s="174">
        <v>12731174.66</v>
      </c>
      <c r="L20" s="174">
        <v>186316.2</v>
      </c>
      <c r="M20" s="174">
        <v>584845</v>
      </c>
      <c r="N20" s="174">
        <v>428880.44</v>
      </c>
      <c r="O20" s="174">
        <v>83329.289999999994</v>
      </c>
      <c r="P20" s="174">
        <v>13188694</v>
      </c>
    </row>
    <row r="21" spans="1:16" s="169" customFormat="1" ht="22.5" thickTop="1">
      <c r="A21" s="167" t="s">
        <v>131</v>
      </c>
      <c r="B21" s="175"/>
      <c r="C21" s="175"/>
      <c r="D21" s="170">
        <v>0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</row>
    <row r="22" spans="1:16" s="169" customFormat="1" ht="21.75">
      <c r="A22" s="168" t="s">
        <v>176</v>
      </c>
      <c r="B22" s="170">
        <f>จ่ายจากเงินรายรับ!B22</f>
        <v>2522000</v>
      </c>
      <c r="C22" s="170"/>
      <c r="D22" s="170">
        <v>2522000</v>
      </c>
      <c r="E22" s="170">
        <v>3101052.39</v>
      </c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</row>
    <row r="23" spans="1:16" s="169" customFormat="1" ht="21.75">
      <c r="A23" s="168" t="s">
        <v>177</v>
      </c>
      <c r="B23" s="170">
        <f>จ่ายจากเงินรายรับ!B23</f>
        <v>19848000</v>
      </c>
      <c r="C23" s="170"/>
      <c r="D23" s="170">
        <v>19848000</v>
      </c>
      <c r="E23" s="170">
        <v>24761804.280000001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</row>
    <row r="24" spans="1:16" s="169" customFormat="1" ht="21.75">
      <c r="A24" s="168" t="s">
        <v>178</v>
      </c>
      <c r="B24" s="170">
        <f>จ่ายจากเงินรายรับ!B24</f>
        <v>416500</v>
      </c>
      <c r="C24" s="170"/>
      <c r="D24" s="170">
        <v>416500</v>
      </c>
      <c r="E24" s="170">
        <v>492208.32</v>
      </c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</row>
    <row r="25" spans="1:16" s="169" customFormat="1" ht="21.75">
      <c r="A25" s="168" t="s">
        <v>179</v>
      </c>
      <c r="B25" s="170">
        <f>จ่ายจากเงินรายรับ!B25</f>
        <v>370500</v>
      </c>
      <c r="C25" s="170"/>
      <c r="D25" s="170">
        <v>370500</v>
      </c>
      <c r="E25" s="170">
        <v>643384.87</v>
      </c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</row>
    <row r="26" spans="1:16" s="169" customFormat="1" ht="21.75">
      <c r="A26" s="168" t="s">
        <v>180</v>
      </c>
      <c r="B26" s="170">
        <f>จ่ายจากเงินรายรับ!B26</f>
        <v>181000</v>
      </c>
      <c r="C26" s="170"/>
      <c r="D26" s="170">
        <v>181000</v>
      </c>
      <c r="E26" s="170">
        <v>199185</v>
      </c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</row>
    <row r="27" spans="1:16" s="169" customFormat="1" ht="21.75">
      <c r="A27" s="168" t="s">
        <v>181</v>
      </c>
      <c r="B27" s="170">
        <f>จ่ายจากเงินรายรับ!B27</f>
        <v>255000</v>
      </c>
      <c r="C27" s="170"/>
      <c r="D27" s="170">
        <v>255000</v>
      </c>
      <c r="E27" s="170">
        <v>208076.4</v>
      </c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</row>
    <row r="28" spans="1:16" s="169" customFormat="1" ht="21.75">
      <c r="A28" s="168" t="s">
        <v>203</v>
      </c>
      <c r="B28" s="170">
        <f>จ่ายจากเงินรายรับ!B28</f>
        <v>10000</v>
      </c>
      <c r="C28" s="170"/>
      <c r="D28" s="170">
        <v>10000</v>
      </c>
      <c r="E28" s="170">
        <v>44000</v>
      </c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</row>
    <row r="29" spans="1:16" s="169" customFormat="1" ht="21.75">
      <c r="A29" s="168" t="s">
        <v>182</v>
      </c>
      <c r="B29" s="170">
        <f>จ่ายจากเงินรายรับ!B29</f>
        <v>12000000</v>
      </c>
      <c r="C29" s="170"/>
      <c r="D29" s="170">
        <v>12000000</v>
      </c>
      <c r="E29" s="170">
        <v>11881948.029999999</v>
      </c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</row>
    <row r="30" spans="1:16" s="169" customFormat="1" ht="21.75">
      <c r="A30" s="168" t="s">
        <v>202</v>
      </c>
      <c r="B30" s="170">
        <f>'จ่ายจากเงินรายรับ (เฉพาะกิจ'!C32</f>
        <v>14227355</v>
      </c>
      <c r="C30" s="176"/>
      <c r="D30" s="176">
        <v>14227355</v>
      </c>
      <c r="E30" s="170">
        <v>14227355</v>
      </c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</row>
    <row r="31" spans="1:16" s="169" customFormat="1" ht="22.5" thickBot="1">
      <c r="A31" s="177" t="s">
        <v>132</v>
      </c>
      <c r="B31" s="174">
        <f>SUM(B22:B30)</f>
        <v>49830355</v>
      </c>
      <c r="C31" s="174"/>
      <c r="D31" s="174">
        <v>49830355</v>
      </c>
      <c r="E31" s="174">
        <v>55559014.289999999</v>
      </c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</row>
    <row r="32" spans="1:16" s="169" customFormat="1" ht="23.25" thickTop="1" thickBot="1">
      <c r="A32" s="178" t="s">
        <v>133</v>
      </c>
      <c r="B32" s="179"/>
      <c r="C32" s="179"/>
      <c r="D32" s="180"/>
      <c r="E32" s="181">
        <v>10439504.390000001</v>
      </c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</row>
    <row r="33" spans="5:5" ht="24.75" thickTop="1"/>
    <row r="34" spans="5:5">
      <c r="E34" s="184"/>
    </row>
    <row r="35" spans="5:5">
      <c r="E35" s="183"/>
    </row>
    <row r="42" spans="5:5">
      <c r="E42" s="184"/>
    </row>
  </sheetData>
  <mergeCells count="4">
    <mergeCell ref="A1:P1"/>
    <mergeCell ref="A2:P2"/>
    <mergeCell ref="A3:P3"/>
    <mergeCell ref="A4:P4"/>
  </mergeCells>
  <pageMargins left="0.28000000000000003" right="0.17" top="0.52" bottom="0.19685039370078741" header="0.51181102362204722" footer="0.36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36"/>
  <sheetViews>
    <sheetView topLeftCell="A19" workbookViewId="0">
      <selection activeCell="F33" sqref="F33"/>
    </sheetView>
  </sheetViews>
  <sheetFormatPr defaultRowHeight="24"/>
  <cols>
    <col min="1" max="1" width="48.7109375" style="84" customWidth="1"/>
    <col min="2" max="2" width="13.28515625" style="84" customWidth="1"/>
    <col min="3" max="3" width="19.28515625" style="84" customWidth="1"/>
    <col min="4" max="16384" width="9.140625" style="84"/>
  </cols>
  <sheetData>
    <row r="1" spans="1:3">
      <c r="A1" s="336" t="s">
        <v>139</v>
      </c>
      <c r="B1" s="336"/>
      <c r="C1" s="336"/>
    </row>
    <row r="2" spans="1:3">
      <c r="A2" s="105" t="s">
        <v>71</v>
      </c>
      <c r="B2" s="105"/>
    </row>
    <row r="3" spans="1:3">
      <c r="A3" s="106" t="s">
        <v>82</v>
      </c>
      <c r="B3" s="106"/>
    </row>
    <row r="4" spans="1:3">
      <c r="A4" s="107" t="s">
        <v>140</v>
      </c>
      <c r="B4" s="107"/>
      <c r="C4" s="101">
        <v>770694</v>
      </c>
    </row>
    <row r="5" spans="1:3">
      <c r="A5" s="107" t="s">
        <v>141</v>
      </c>
      <c r="B5" s="107"/>
      <c r="C5" s="101">
        <v>12435050</v>
      </c>
    </row>
    <row r="6" spans="1:3" ht="24.75" thickBot="1">
      <c r="A6" s="108" t="s">
        <v>36</v>
      </c>
      <c r="B6" s="108"/>
      <c r="C6" s="109">
        <f>SUM(C4:C5)</f>
        <v>13205744</v>
      </c>
    </row>
    <row r="7" spans="1:3" ht="24.75" thickTop="1"/>
    <row r="8" spans="1:3">
      <c r="A8" s="110" t="s">
        <v>142</v>
      </c>
      <c r="B8" s="110"/>
    </row>
    <row r="9" spans="1:3">
      <c r="A9" s="106" t="s">
        <v>84</v>
      </c>
      <c r="B9" s="106"/>
    </row>
    <row r="10" spans="1:3">
      <c r="A10" s="107" t="s">
        <v>140</v>
      </c>
      <c r="B10" s="107"/>
      <c r="C10" s="101">
        <v>6225844.46</v>
      </c>
    </row>
    <row r="11" spans="1:3">
      <c r="A11" s="107" t="s">
        <v>141</v>
      </c>
      <c r="B11" s="107"/>
      <c r="C11" s="101">
        <v>1263600</v>
      </c>
    </row>
    <row r="12" spans="1:3" ht="24.75" thickBot="1">
      <c r="A12" s="108" t="s">
        <v>36</v>
      </c>
      <c r="B12" s="108"/>
      <c r="C12" s="109">
        <f>SUM(C10:C11)</f>
        <v>7489444.46</v>
      </c>
    </row>
    <row r="13" spans="1:3" ht="24.75" thickTop="1"/>
    <row r="14" spans="1:3">
      <c r="A14" s="110" t="s">
        <v>143</v>
      </c>
      <c r="B14" s="110"/>
    </row>
    <row r="15" spans="1:3">
      <c r="A15" s="106" t="s">
        <v>85</v>
      </c>
      <c r="B15" s="106"/>
    </row>
    <row r="16" spans="1:3">
      <c r="A16" s="107" t="s">
        <v>140</v>
      </c>
      <c r="B16" s="107"/>
      <c r="C16" s="101">
        <v>2022997.5</v>
      </c>
    </row>
    <row r="17" spans="1:3">
      <c r="A17" s="107" t="s">
        <v>141</v>
      </c>
      <c r="B17" s="107"/>
      <c r="C17" s="101">
        <v>5305</v>
      </c>
    </row>
    <row r="18" spans="1:3" ht="24.75" thickBot="1">
      <c r="A18" s="108" t="s">
        <v>36</v>
      </c>
      <c r="B18" s="108"/>
      <c r="C18" s="109">
        <f>SUM(C16:C17)</f>
        <v>2028302.5</v>
      </c>
    </row>
    <row r="19" spans="1:3" ht="24.75" thickTop="1">
      <c r="A19" s="110" t="s">
        <v>282</v>
      </c>
      <c r="B19" s="110"/>
    </row>
    <row r="20" spans="1:3">
      <c r="A20" s="106" t="s">
        <v>86</v>
      </c>
      <c r="B20" s="106"/>
    </row>
    <row r="21" spans="1:3">
      <c r="A21" s="107" t="s">
        <v>140</v>
      </c>
      <c r="B21" s="107"/>
      <c r="C21" s="101">
        <v>3683519.78</v>
      </c>
    </row>
    <row r="22" spans="1:3">
      <c r="A22" s="107" t="s">
        <v>141</v>
      </c>
      <c r="B22" s="107"/>
      <c r="C22" s="101">
        <v>21720</v>
      </c>
    </row>
    <row r="23" spans="1:3" ht="24.75" thickBot="1">
      <c r="A23" s="108" t="s">
        <v>36</v>
      </c>
      <c r="B23" s="108"/>
      <c r="C23" s="109">
        <f>SUM(C21:C22)</f>
        <v>3705239.78</v>
      </c>
    </row>
    <row r="24" spans="1:3" ht="24.75" thickTop="1">
      <c r="A24" s="110"/>
      <c r="B24" s="110"/>
    </row>
    <row r="25" spans="1:3">
      <c r="A25" s="110" t="s">
        <v>283</v>
      </c>
      <c r="B25" s="110"/>
    </row>
    <row r="26" spans="1:3">
      <c r="A26" s="106" t="s">
        <v>87</v>
      </c>
      <c r="B26" s="106"/>
    </row>
    <row r="27" spans="1:3">
      <c r="A27" s="107" t="s">
        <v>140</v>
      </c>
      <c r="B27" s="107"/>
      <c r="C27" s="101">
        <v>2374207.81</v>
      </c>
    </row>
    <row r="28" spans="1:3">
      <c r="A28" s="107" t="s">
        <v>141</v>
      </c>
      <c r="B28" s="107"/>
      <c r="C28" s="101">
        <v>398280</v>
      </c>
    </row>
    <row r="29" spans="1:3" ht="24.75" thickBot="1">
      <c r="A29" s="108" t="s">
        <v>36</v>
      </c>
      <c r="B29" s="108"/>
      <c r="C29" s="109">
        <f>SUM(C27:C28)</f>
        <v>2772487.81</v>
      </c>
    </row>
    <row r="30" spans="1:3" ht="24.75" thickTop="1"/>
    <row r="31" spans="1:3">
      <c r="A31" s="110" t="s">
        <v>359</v>
      </c>
      <c r="B31" s="110"/>
    </row>
    <row r="32" spans="1:3">
      <c r="A32" s="106" t="s">
        <v>89</v>
      </c>
      <c r="B32" s="106"/>
    </row>
    <row r="33" spans="1:3">
      <c r="A33" s="107" t="s">
        <v>140</v>
      </c>
      <c r="B33" s="107"/>
      <c r="C33" s="101">
        <v>483180</v>
      </c>
    </row>
    <row r="34" spans="1:3">
      <c r="A34" s="107" t="s">
        <v>141</v>
      </c>
      <c r="B34" s="107"/>
      <c r="C34" s="101">
        <v>103400</v>
      </c>
    </row>
    <row r="35" spans="1:3" ht="24.75" thickBot="1">
      <c r="A35" s="108" t="s">
        <v>36</v>
      </c>
      <c r="B35" s="108"/>
      <c r="C35" s="109">
        <f>SUM(C33:C34)</f>
        <v>586580</v>
      </c>
    </row>
    <row r="36" spans="1:3" ht="24.75" thickTop="1"/>
  </sheetData>
  <mergeCells count="1">
    <mergeCell ref="A1:C1"/>
  </mergeCells>
  <phoneticPr fontId="52" type="noConversion"/>
  <pageMargins left="1.1299999999999999" right="0.75" top="0.69" bottom="0.65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5"/>
  <sheetViews>
    <sheetView zoomScale="130" workbookViewId="0">
      <selection activeCell="H9" sqref="H9"/>
    </sheetView>
  </sheetViews>
  <sheetFormatPr defaultRowHeight="24"/>
  <cols>
    <col min="1" max="1" width="32.7109375" style="84" customWidth="1"/>
    <col min="2" max="2" width="13.5703125" style="84" bestFit="1" customWidth="1"/>
    <col min="3" max="3" width="14.140625" style="84" bestFit="1" customWidth="1"/>
    <col min="4" max="4" width="11.7109375" style="84" customWidth="1"/>
    <col min="5" max="5" width="11" style="84" bestFit="1" customWidth="1"/>
    <col min="6" max="6" width="12.42578125" style="84" bestFit="1" customWidth="1"/>
    <col min="7" max="7" width="11" style="84" bestFit="1" customWidth="1"/>
    <col min="8" max="8" width="9.140625" style="84"/>
    <col min="9" max="11" width="11" style="84" bestFit="1" customWidth="1"/>
    <col min="12" max="12" width="9.140625" style="84"/>
    <col min="13" max="13" width="10" style="84" bestFit="1" customWidth="1"/>
    <col min="14" max="14" width="13.5703125" style="84" bestFit="1" customWidth="1"/>
    <col min="15" max="16384" width="9.140625" style="84"/>
  </cols>
  <sheetData>
    <row r="1" spans="1:16" ht="27.75">
      <c r="A1" s="337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2" spans="1:16" ht="27.75">
      <c r="A2" s="337" t="s">
        <v>70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16" ht="27.75">
      <c r="A3" s="337" t="s">
        <v>145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6" ht="27.75">
      <c r="A4" s="338" t="s">
        <v>278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6" ht="27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6" ht="56.25">
      <c r="A6" s="86" t="s">
        <v>76</v>
      </c>
      <c r="B6" s="86" t="s">
        <v>77</v>
      </c>
      <c r="C6" s="86" t="s">
        <v>36</v>
      </c>
      <c r="D6" s="86" t="s">
        <v>79</v>
      </c>
      <c r="E6" s="86" t="s">
        <v>112</v>
      </c>
      <c r="F6" s="86" t="s">
        <v>113</v>
      </c>
      <c r="G6" s="86" t="s">
        <v>114</v>
      </c>
      <c r="H6" s="86" t="s">
        <v>115</v>
      </c>
      <c r="I6" s="86" t="s">
        <v>116</v>
      </c>
      <c r="J6" s="86" t="s">
        <v>117</v>
      </c>
      <c r="K6" s="86" t="s">
        <v>118</v>
      </c>
      <c r="L6" s="86" t="s">
        <v>119</v>
      </c>
      <c r="M6" s="86" t="s">
        <v>120</v>
      </c>
      <c r="N6" s="86" t="s">
        <v>82</v>
      </c>
      <c r="O6" s="87"/>
      <c r="P6" s="87"/>
    </row>
    <row r="7" spans="1:16" hidden="1">
      <c r="A7" s="88"/>
      <c r="B7" s="88"/>
      <c r="C7" s="88"/>
      <c r="D7" s="88"/>
      <c r="E7" s="89" t="s">
        <v>121</v>
      </c>
      <c r="F7" s="89" t="s">
        <v>122</v>
      </c>
      <c r="G7" s="89" t="s">
        <v>123</v>
      </c>
      <c r="H7" s="89" t="s">
        <v>124</v>
      </c>
      <c r="I7" s="89" t="s">
        <v>125</v>
      </c>
      <c r="J7" s="89" t="s">
        <v>126</v>
      </c>
      <c r="K7" s="89" t="s">
        <v>127</v>
      </c>
      <c r="L7" s="89" t="s">
        <v>128</v>
      </c>
      <c r="M7" s="89" t="s">
        <v>129</v>
      </c>
      <c r="N7" s="89" t="s">
        <v>130</v>
      </c>
      <c r="O7" s="87"/>
      <c r="P7" s="87"/>
    </row>
    <row r="8" spans="1:16" s="92" customFormat="1" ht="21.75">
      <c r="A8" s="90" t="s">
        <v>81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6" s="92" customFormat="1" ht="21.75">
      <c r="A9" s="91" t="s">
        <v>134</v>
      </c>
      <c r="B9" s="93"/>
      <c r="C9" s="93">
        <f t="shared" ref="C9:C19" si="0">SUM(D9:N9)</f>
        <v>12435050</v>
      </c>
      <c r="D9" s="93"/>
      <c r="E9" s="93"/>
      <c r="F9" s="93">
        <f>22050+20000</f>
        <v>42050</v>
      </c>
      <c r="G9" s="93"/>
      <c r="H9" s="93"/>
      <c r="I9" s="93"/>
      <c r="J9" s="93"/>
      <c r="K9" s="93"/>
      <c r="L9" s="93"/>
      <c r="M9" s="93"/>
      <c r="N9" s="93">
        <f>1320000+11006500+66500</f>
        <v>12393000</v>
      </c>
    </row>
    <row r="10" spans="1:16" s="92" customFormat="1" ht="21.75">
      <c r="A10" s="91" t="s">
        <v>83</v>
      </c>
      <c r="B10" s="93"/>
      <c r="C10" s="93">
        <f t="shared" si="0"/>
        <v>0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6" s="92" customFormat="1" ht="21.75">
      <c r="A11" s="91" t="s">
        <v>144</v>
      </c>
      <c r="B11" s="93"/>
      <c r="C11" s="93">
        <f t="shared" si="0"/>
        <v>1263600</v>
      </c>
      <c r="D11" s="93"/>
      <c r="E11" s="93"/>
      <c r="F11" s="93">
        <v>1263600</v>
      </c>
      <c r="G11" s="93"/>
      <c r="H11" s="93"/>
      <c r="I11" s="93"/>
      <c r="J11" s="93"/>
      <c r="K11" s="93"/>
      <c r="L11" s="93"/>
      <c r="M11" s="93"/>
      <c r="N11" s="93"/>
    </row>
    <row r="12" spans="1:16" s="92" customFormat="1" ht="21.75">
      <c r="A12" s="91" t="s">
        <v>465</v>
      </c>
      <c r="B12" s="93"/>
      <c r="C12" s="93">
        <f t="shared" si="0"/>
        <v>5305</v>
      </c>
      <c r="D12" s="93"/>
      <c r="E12" s="93"/>
      <c r="F12" s="93">
        <v>5305</v>
      </c>
      <c r="G12" s="93"/>
      <c r="H12" s="93"/>
      <c r="I12" s="93"/>
      <c r="J12" s="93"/>
      <c r="K12" s="93"/>
      <c r="L12" s="93"/>
      <c r="M12" s="93"/>
      <c r="N12" s="93"/>
    </row>
    <row r="13" spans="1:16" s="92" customFormat="1" ht="21.75">
      <c r="A13" s="91" t="s">
        <v>466</v>
      </c>
      <c r="B13" s="93"/>
      <c r="C13" s="93">
        <f t="shared" si="0"/>
        <v>21720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>
        <v>21720</v>
      </c>
    </row>
    <row r="14" spans="1:16" s="92" customFormat="1" ht="21.75">
      <c r="A14" s="91" t="s">
        <v>328</v>
      </c>
      <c r="B14" s="93"/>
      <c r="C14" s="93">
        <f t="shared" si="0"/>
        <v>398280</v>
      </c>
      <c r="D14" s="93"/>
      <c r="E14" s="93"/>
      <c r="F14" s="93">
        <v>395000</v>
      </c>
      <c r="G14" s="93"/>
      <c r="H14" s="93"/>
      <c r="I14" s="93"/>
      <c r="J14" s="93"/>
      <c r="K14" s="93"/>
      <c r="L14" s="93"/>
      <c r="M14" s="93"/>
      <c r="N14" s="93">
        <v>3280</v>
      </c>
    </row>
    <row r="15" spans="1:16" s="92" customFormat="1" ht="21.75">
      <c r="A15" s="91" t="s">
        <v>88</v>
      </c>
      <c r="B15" s="93"/>
      <c r="C15" s="93">
        <f t="shared" si="0"/>
        <v>0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16" s="92" customFormat="1" ht="21.75">
      <c r="A16" s="91" t="s">
        <v>329</v>
      </c>
      <c r="B16" s="93"/>
      <c r="C16" s="93">
        <f t="shared" si="0"/>
        <v>103400</v>
      </c>
      <c r="D16" s="93"/>
      <c r="E16" s="93"/>
      <c r="F16" s="93">
        <v>103400</v>
      </c>
      <c r="G16" s="93"/>
      <c r="H16" s="93"/>
      <c r="I16" s="93"/>
      <c r="J16" s="93"/>
      <c r="K16" s="93"/>
      <c r="L16" s="93"/>
      <c r="M16" s="93"/>
      <c r="N16" s="93"/>
    </row>
    <row r="17" spans="1:14" s="92" customFormat="1" ht="21.75">
      <c r="A17" s="91" t="s">
        <v>90</v>
      </c>
      <c r="B17" s="93"/>
      <c r="C17" s="93">
        <f t="shared" si="0"/>
        <v>0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4" s="92" customFormat="1" ht="21.75">
      <c r="A18" s="91" t="s">
        <v>91</v>
      </c>
      <c r="B18" s="93"/>
      <c r="C18" s="93">
        <f t="shared" si="0"/>
        <v>0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</row>
    <row r="19" spans="1:14" s="92" customFormat="1" ht="21.75">
      <c r="A19" s="94" t="s">
        <v>92</v>
      </c>
      <c r="B19" s="93"/>
      <c r="C19" s="93">
        <f t="shared" si="0"/>
        <v>0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</row>
    <row r="20" spans="1:14" s="92" customFormat="1" ht="22.5" thickBot="1">
      <c r="A20" s="95" t="s">
        <v>160</v>
      </c>
      <c r="B20" s="96"/>
      <c r="C20" s="96">
        <f t="shared" ref="C20:N20" si="1">SUM(C9:C19)</f>
        <v>14227355</v>
      </c>
      <c r="D20" s="96">
        <f t="shared" si="1"/>
        <v>0</v>
      </c>
      <c r="E20" s="96">
        <f t="shared" si="1"/>
        <v>0</v>
      </c>
      <c r="F20" s="96">
        <f t="shared" si="1"/>
        <v>1809355</v>
      </c>
      <c r="G20" s="96">
        <f t="shared" si="1"/>
        <v>0</v>
      </c>
      <c r="H20" s="96">
        <f t="shared" si="1"/>
        <v>0</v>
      </c>
      <c r="I20" s="96">
        <f t="shared" si="1"/>
        <v>0</v>
      </c>
      <c r="J20" s="96">
        <f t="shared" si="1"/>
        <v>0</v>
      </c>
      <c r="K20" s="96">
        <f t="shared" si="1"/>
        <v>0</v>
      </c>
      <c r="L20" s="96">
        <f t="shared" si="1"/>
        <v>0</v>
      </c>
      <c r="M20" s="96">
        <f t="shared" si="1"/>
        <v>0</v>
      </c>
      <c r="N20" s="96">
        <f t="shared" si="1"/>
        <v>12418000</v>
      </c>
    </row>
    <row r="21" spans="1:14" s="92" customFormat="1" ht="22.5" thickTop="1">
      <c r="A21" s="90" t="s">
        <v>131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</row>
    <row r="22" spans="1:14" s="92" customFormat="1" ht="21.75">
      <c r="A22" s="91" t="s">
        <v>148</v>
      </c>
      <c r="B22" s="93"/>
      <c r="C22" s="93">
        <v>22050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</row>
    <row r="23" spans="1:14" s="92" customFormat="1" ht="21.75">
      <c r="A23" s="91" t="s">
        <v>149</v>
      </c>
      <c r="B23" s="93"/>
      <c r="C23" s="93">
        <v>1263600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</row>
    <row r="24" spans="1:14" s="92" customFormat="1" ht="21.75">
      <c r="A24" s="91" t="s">
        <v>281</v>
      </c>
      <c r="B24" s="93"/>
      <c r="C24" s="93">
        <v>5305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</row>
    <row r="25" spans="1:14" s="92" customFormat="1" ht="21.75">
      <c r="A25" s="91" t="s">
        <v>150</v>
      </c>
      <c r="B25" s="93"/>
      <c r="C25" s="93">
        <v>395000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</row>
    <row r="26" spans="1:14" s="92" customFormat="1" ht="21.75">
      <c r="A26" s="91" t="s">
        <v>279</v>
      </c>
      <c r="B26" s="93"/>
      <c r="C26" s="93">
        <v>103400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14" s="92" customFormat="1" ht="21.75">
      <c r="A27" s="91" t="s">
        <v>146</v>
      </c>
      <c r="B27" s="93"/>
      <c r="C27" s="93">
        <v>20000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1:14" s="92" customFormat="1" ht="21.75">
      <c r="A28" s="91" t="s">
        <v>147</v>
      </c>
      <c r="B28" s="93"/>
      <c r="C28" s="93">
        <v>1320000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</row>
    <row r="29" spans="1:14" s="92" customFormat="1" ht="21.75">
      <c r="A29" s="91" t="s">
        <v>151</v>
      </c>
      <c r="B29" s="93"/>
      <c r="C29" s="93">
        <v>11006500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</row>
    <row r="30" spans="1:14" s="92" customFormat="1" ht="21.75">
      <c r="A30" s="91" t="s">
        <v>152</v>
      </c>
      <c r="B30" s="111"/>
      <c r="C30" s="111">
        <v>25000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</row>
    <row r="31" spans="1:14" s="92" customFormat="1" ht="21.75">
      <c r="A31" s="91" t="s">
        <v>280</v>
      </c>
      <c r="B31" s="111"/>
      <c r="C31" s="111">
        <v>66500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</row>
    <row r="32" spans="1:14" s="92" customFormat="1" ht="22.5" thickBot="1">
      <c r="A32" s="98" t="s">
        <v>132</v>
      </c>
      <c r="B32" s="96"/>
      <c r="C32" s="96">
        <f>SUM(C22:C31)</f>
        <v>14227355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</row>
    <row r="33" spans="3:4" ht="24.75" thickTop="1"/>
    <row r="34" spans="3:4">
      <c r="C34" s="101"/>
      <c r="D34" s="101"/>
    </row>
    <row r="35" spans="3:4">
      <c r="C35" s="102"/>
    </row>
  </sheetData>
  <mergeCells count="4">
    <mergeCell ref="A1:N1"/>
    <mergeCell ref="A2:N2"/>
    <mergeCell ref="A3:N3"/>
    <mergeCell ref="A4:N4"/>
  </mergeCells>
  <phoneticPr fontId="52" type="noConversion"/>
  <pageMargins left="0.35433070866141736" right="0.15748031496062992" top="0.66" bottom="0.19685039370078741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34"/>
  <sheetViews>
    <sheetView topLeftCell="A6" zoomScale="130" workbookViewId="0">
      <selection activeCell="H9" sqref="H9"/>
    </sheetView>
  </sheetViews>
  <sheetFormatPr defaultRowHeight="24"/>
  <cols>
    <col min="1" max="1" width="29" style="84" customWidth="1"/>
    <col min="2" max="2" width="13.5703125" style="84" hidden="1" customWidth="1"/>
    <col min="3" max="3" width="12.7109375" style="84" hidden="1" customWidth="1"/>
    <col min="4" max="16" width="13.28515625" style="84" customWidth="1"/>
    <col min="17" max="17" width="9.140625" style="84" customWidth="1"/>
    <col min="18" max="19" width="12.42578125" style="84" bestFit="1" customWidth="1"/>
    <col min="20" max="28" width="9.140625" style="84"/>
    <col min="29" max="29" width="9.140625" style="84" customWidth="1"/>
    <col min="30" max="16384" width="9.140625" style="84"/>
  </cols>
  <sheetData>
    <row r="1" spans="1:26" ht="27.75">
      <c r="A1" s="337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2" spans="1:26" ht="27.75">
      <c r="A2" s="337" t="s">
        <v>70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26" ht="27.75">
      <c r="A3" s="337" t="s">
        <v>175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26" ht="27.75">
      <c r="A4" s="338" t="s">
        <v>360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</row>
    <row r="5" spans="1:26" ht="27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26" ht="56.25">
      <c r="A6" s="86" t="s">
        <v>76</v>
      </c>
      <c r="B6" s="86" t="s">
        <v>77</v>
      </c>
      <c r="C6" s="86" t="s">
        <v>78</v>
      </c>
      <c r="D6" s="86" t="s">
        <v>77</v>
      </c>
      <c r="E6" s="86" t="s">
        <v>36</v>
      </c>
      <c r="F6" s="86" t="s">
        <v>79</v>
      </c>
      <c r="G6" s="86" t="s">
        <v>112</v>
      </c>
      <c r="H6" s="86" t="s">
        <v>113</v>
      </c>
      <c r="I6" s="86" t="s">
        <v>114</v>
      </c>
      <c r="J6" s="86" t="s">
        <v>115</v>
      </c>
      <c r="K6" s="86" t="s">
        <v>116</v>
      </c>
      <c r="L6" s="86" t="s">
        <v>117</v>
      </c>
      <c r="M6" s="86" t="s">
        <v>118</v>
      </c>
      <c r="N6" s="86" t="s">
        <v>119</v>
      </c>
      <c r="O6" s="86" t="s">
        <v>120</v>
      </c>
      <c r="P6" s="86" t="s">
        <v>82</v>
      </c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hidden="1">
      <c r="A7" s="88"/>
      <c r="B7" s="88"/>
      <c r="C7" s="88"/>
      <c r="D7" s="88"/>
      <c r="E7" s="88"/>
      <c r="F7" s="88"/>
      <c r="G7" s="89" t="s">
        <v>121</v>
      </c>
      <c r="H7" s="89" t="s">
        <v>122</v>
      </c>
      <c r="I7" s="89" t="s">
        <v>123</v>
      </c>
      <c r="J7" s="89" t="s">
        <v>124</v>
      </c>
      <c r="K7" s="89" t="s">
        <v>125</v>
      </c>
      <c r="L7" s="89" t="s">
        <v>126</v>
      </c>
      <c r="M7" s="89" t="s">
        <v>127</v>
      </c>
      <c r="N7" s="89" t="s">
        <v>128</v>
      </c>
      <c r="O7" s="89" t="s">
        <v>129</v>
      </c>
      <c r="P7" s="89" t="s">
        <v>130</v>
      </c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s="92" customFormat="1" ht="21.75">
      <c r="A8" s="90" t="s">
        <v>81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R8" s="92" t="s">
        <v>287</v>
      </c>
      <c r="S8" s="213" t="s">
        <v>288</v>
      </c>
    </row>
    <row r="9" spans="1:26" s="92" customFormat="1" ht="21.75">
      <c r="A9" s="91" t="s">
        <v>82</v>
      </c>
      <c r="B9" s="93">
        <f>งานบริหารทั่วไป!B8+'รักษาความสงบ '!B8+'การศึกษา '!B8+สาธารณสุข!B8+สังคมสงเคราะห์!B8+'เคหะและชุมชน '!B8+'สร้างความเข้มแข็ง '!B8+ศาสนา!B8+'เกษตร '!B8+พาณิชย์!B8+งบกลาง!B8</f>
        <v>1694530</v>
      </c>
      <c r="C9" s="136">
        <f>งานบริหารทั่วไป!C8+'รักษาความสงบ '!C8+'การศึกษา '!C8+สาธารณสุข!C8+สังคมสงเคราะห์!C8+'เคหะและชุมชน '!C8+'สร้างความเข้มแข็ง '!C8+ศาสนา!C8+'เกษตร '!C8+พาณิชย์!C8+งบกลาง!C8</f>
        <v>-57500</v>
      </c>
      <c r="D9" s="93">
        <f t="shared" ref="D9:D19" si="0">SUM(B9+C9)</f>
        <v>1637030</v>
      </c>
      <c r="E9" s="93">
        <f t="shared" ref="E9:E19" si="1">SUM(F9:P9)</f>
        <v>770694</v>
      </c>
      <c r="F9" s="93">
        <f>งานบริหารทั่วไป!E8</f>
        <v>0</v>
      </c>
      <c r="G9" s="93">
        <f>'รักษาความสงบ '!E8</f>
        <v>0</v>
      </c>
      <c r="H9" s="93">
        <f>'การศึกษา '!E8</f>
        <v>0</v>
      </c>
      <c r="I9" s="93">
        <f>สาธารณสุข!E8</f>
        <v>0</v>
      </c>
      <c r="J9" s="93">
        <f>สังคมสงเคราะห์!E8</f>
        <v>0</v>
      </c>
      <c r="K9" s="93">
        <f>'เคหะและชุมชน '!E8</f>
        <v>0</v>
      </c>
      <c r="L9" s="93">
        <f>'สร้างความเข้มแข็ง '!E8</f>
        <v>0</v>
      </c>
      <c r="M9" s="93">
        <f>ศาสนา!E8</f>
        <v>0</v>
      </c>
      <c r="N9" s="93">
        <f>'เกษตร '!E8</f>
        <v>0</v>
      </c>
      <c r="O9" s="93">
        <f>พาณิชย์!E8</f>
        <v>0</v>
      </c>
      <c r="P9" s="93">
        <f>งบกลาง!E8</f>
        <v>770694</v>
      </c>
      <c r="R9" s="212">
        <v>770694</v>
      </c>
      <c r="S9" s="214">
        <f>R9-E9</f>
        <v>0</v>
      </c>
    </row>
    <row r="10" spans="1:26" s="92" customFormat="1" ht="21.75">
      <c r="A10" s="91" t="s">
        <v>83</v>
      </c>
      <c r="B10" s="93">
        <f>งานบริหารทั่วไป!B9+'รักษาความสงบ '!B9+'การศึกษา '!B9+สาธารณสุข!B9+สังคมสงเคราะห์!B9+'เคหะและชุมชน '!B9+'สร้างความเข้มแข็ง '!B9+ศาสนา!B9+'เกษตร '!B9+พาณิชย์!B9+งบกลาง!B9</f>
        <v>2928480</v>
      </c>
      <c r="C10" s="136">
        <f>งานบริหารทั่วไป!C9+'รักษาความสงบ '!C9+'การศึกษา '!C9+สาธารณสุข!C9+สังคมสงเคราะห์!C9+'เคหะและชุมชน '!C9+'สร้างความเข้มแข็ง '!C9+ศาสนา!C9+'เกษตร '!C9+พาณิชย์!C9+งบกลาง!C9</f>
        <v>0</v>
      </c>
      <c r="D10" s="93">
        <f t="shared" si="0"/>
        <v>2928480</v>
      </c>
      <c r="E10" s="93">
        <f t="shared" si="1"/>
        <v>2624640</v>
      </c>
      <c r="F10" s="93">
        <f>งานบริหารทั่วไป!E9</f>
        <v>2624640</v>
      </c>
      <c r="G10" s="93">
        <f>'รักษาความสงบ '!E9</f>
        <v>0</v>
      </c>
      <c r="H10" s="93">
        <f>'การศึกษา '!E9</f>
        <v>0</v>
      </c>
      <c r="I10" s="93">
        <f>สาธารณสุข!E9</f>
        <v>0</v>
      </c>
      <c r="J10" s="93">
        <f>สังคมสงเคราะห์!E9</f>
        <v>0</v>
      </c>
      <c r="K10" s="93">
        <f>'เคหะและชุมชน '!E9</f>
        <v>0</v>
      </c>
      <c r="L10" s="93">
        <f>'สร้างความเข้มแข็ง '!E9</f>
        <v>0</v>
      </c>
      <c r="M10" s="93">
        <f>ศาสนา!E9</f>
        <v>0</v>
      </c>
      <c r="N10" s="93">
        <f>'เกษตร '!E9</f>
        <v>0</v>
      </c>
      <c r="O10" s="93">
        <f>พาณิชย์!E9</f>
        <v>0</v>
      </c>
      <c r="P10" s="93">
        <f>งบกลาง!E9</f>
        <v>0</v>
      </c>
      <c r="R10" s="212">
        <v>2624640</v>
      </c>
      <c r="S10" s="214">
        <f t="shared" ref="S10:S19" si="2">R10-E10</f>
        <v>0</v>
      </c>
    </row>
    <row r="11" spans="1:26" s="92" customFormat="1" ht="21.75">
      <c r="A11" s="91" t="s">
        <v>84</v>
      </c>
      <c r="B11" s="93">
        <f>งานบริหารทั่วไป!B10+'รักษาความสงบ '!B10+'การศึกษา '!B10+สาธารณสุข!B10+สังคมสงเคราะห์!B10+'เคหะและชุมชน '!B10+'สร้างความเข้มแข็ง '!B10+ศาสนา!B10+'เกษตร '!B10+พาณิชย์!B10+งบกลาง!B10</f>
        <v>6701080</v>
      </c>
      <c r="C11" s="136">
        <f>งานบริหารทั่วไป!C10+'รักษาความสงบ '!C10+'การศึกษา '!C10+สาธารณสุข!C10+สังคมสงเคราะห์!C10+'เคหะและชุมชน '!C10+'สร้างความเข้มแข็ง '!C10+ศาสนา!C10+'เกษตร '!C10+พาณิชย์!C10+งบกลาง!C10</f>
        <v>196020</v>
      </c>
      <c r="D11" s="93">
        <f t="shared" si="0"/>
        <v>6897100</v>
      </c>
      <c r="E11" s="93">
        <f t="shared" si="1"/>
        <v>6225844.46</v>
      </c>
      <c r="F11" s="93">
        <f>งานบริหารทั่วไป!E10</f>
        <v>3721585.79</v>
      </c>
      <c r="G11" s="93">
        <f>'รักษาความสงบ '!E10</f>
        <v>307037</v>
      </c>
      <c r="H11" s="93">
        <f>'การศึกษา '!E10</f>
        <v>486720</v>
      </c>
      <c r="I11" s="93">
        <f>สาธารณสุข!E10</f>
        <v>72000</v>
      </c>
      <c r="J11" s="93">
        <f>สังคมสงเคราะห์!E10</f>
        <v>0</v>
      </c>
      <c r="K11" s="93">
        <f>'เคหะและชุมชน '!E10</f>
        <v>1458501.67</v>
      </c>
      <c r="L11" s="93">
        <f>'สร้างความเข้มแข็ง '!E10</f>
        <v>0</v>
      </c>
      <c r="M11" s="93">
        <f>ศาสนา!E10</f>
        <v>0</v>
      </c>
      <c r="N11" s="93">
        <f>'เกษตร '!E10</f>
        <v>180000</v>
      </c>
      <c r="O11" s="93">
        <f>พาณิชย์!E10</f>
        <v>0</v>
      </c>
      <c r="P11" s="93">
        <f>งบกลาง!E10</f>
        <v>0</v>
      </c>
      <c r="R11" s="212">
        <f>6197444.46+14200+14200</f>
        <v>6225844.46</v>
      </c>
      <c r="S11" s="214">
        <f t="shared" si="2"/>
        <v>0</v>
      </c>
    </row>
    <row r="12" spans="1:26" s="92" customFormat="1" ht="21.75">
      <c r="A12" s="91" t="s">
        <v>85</v>
      </c>
      <c r="B12" s="93">
        <f>งานบริหารทั่วไป!B11+'รักษาความสงบ '!B11+'การศึกษา '!B11+สาธารณสุข!B11+สังคมสงเคราะห์!B11+'เคหะและชุมชน '!B11+'สร้างความเข้มแข็ง '!B11+ศาสนา!B11+'เกษตร '!B11+พาณิชย์!B11+งบกลาง!B11</f>
        <v>2376400</v>
      </c>
      <c r="C12" s="136">
        <f>งานบริหารทั่วไป!C11+'รักษาความสงบ '!C11+'การศึกษา '!C11+สาธารณสุข!C11+สังคมสงเคราะห์!C11+'เคหะและชุมชน '!C11+'สร้างความเข้มแข็ง '!C11+ศาสนา!C11+'เกษตร '!C11+พาณิชย์!C11+งบกลาง!C11</f>
        <v>6800</v>
      </c>
      <c r="D12" s="93">
        <f t="shared" si="0"/>
        <v>2383200</v>
      </c>
      <c r="E12" s="93">
        <f t="shared" si="1"/>
        <v>2022997.5</v>
      </c>
      <c r="F12" s="93">
        <f>งานบริหารทั่วไป!E11</f>
        <v>953740.5</v>
      </c>
      <c r="G12" s="93">
        <f>'รักษาความสงบ '!E11</f>
        <v>219660</v>
      </c>
      <c r="H12" s="93">
        <f>'การศึกษา '!E11</f>
        <v>340052</v>
      </c>
      <c r="I12" s="93">
        <f>สาธารณสุข!E11</f>
        <v>43000</v>
      </c>
      <c r="J12" s="93">
        <f>สังคมสงเคราะห์!E11</f>
        <v>0</v>
      </c>
      <c r="K12" s="93">
        <f>'เคหะและชุมชน '!E11</f>
        <v>386194</v>
      </c>
      <c r="L12" s="93">
        <f>'สร้างความเข้มแข็ง '!E11</f>
        <v>0</v>
      </c>
      <c r="M12" s="93">
        <f>ศาสนา!E11</f>
        <v>0</v>
      </c>
      <c r="N12" s="93">
        <f>'เกษตร '!E11</f>
        <v>80351</v>
      </c>
      <c r="O12" s="93">
        <f>พาณิชย์!E11</f>
        <v>0</v>
      </c>
      <c r="P12" s="93">
        <f>งบกลาง!E11</f>
        <v>0</v>
      </c>
      <c r="R12" s="212">
        <f>431477.5+1587400+5850+1950-3680</f>
        <v>2022997.5</v>
      </c>
      <c r="S12" s="214">
        <f t="shared" si="2"/>
        <v>0</v>
      </c>
    </row>
    <row r="13" spans="1:26" s="92" customFormat="1" ht="21.75">
      <c r="A13" s="91" t="s">
        <v>86</v>
      </c>
      <c r="B13" s="93">
        <f>งานบริหารทั่วไป!B12+'รักษาความสงบ '!B12+'การศึกษา '!B12+สาธารณสุข!B12+สังคมสงเคราะห์!B12+'เคหะและชุมชน '!B12+'สร้างความเข้มแข็ง '!B12+ศาสนา!B12+'เกษตร '!B12+พาณิชย์!B12+งบกลาง!B12</f>
        <v>5554760</v>
      </c>
      <c r="C13" s="136">
        <f>งานบริหารทั่วไป!C12+'รักษาความสงบ '!C12+'การศึกษา '!C12+สาธารณสุข!C12+สังคมสงเคราะห์!C12+'เคหะและชุมชน '!C12+'สร้างความเข้มแข็ง '!C12+ศาสนา!C12+'เกษตร '!C12+พาณิชย์!C12+งบกลาง!C12</f>
        <v>-576620</v>
      </c>
      <c r="D13" s="93">
        <f t="shared" si="0"/>
        <v>4978140</v>
      </c>
      <c r="E13" s="93">
        <f t="shared" si="1"/>
        <v>3683519.78</v>
      </c>
      <c r="F13" s="93">
        <f>งานบริหารทั่วไป!E12</f>
        <v>1331462.5799999998</v>
      </c>
      <c r="G13" s="93">
        <f>'รักษาความสงบ '!E12</f>
        <v>246161.12</v>
      </c>
      <c r="H13" s="93">
        <f>'การศึกษา '!E12</f>
        <v>1021221</v>
      </c>
      <c r="I13" s="93">
        <f>สาธารณสุข!E12</f>
        <v>100502.2</v>
      </c>
      <c r="J13" s="93">
        <f>สังคมสงเคราะห์!E12</f>
        <v>0</v>
      </c>
      <c r="K13" s="93">
        <f>'เคหะและชุมชน '!E12</f>
        <v>108184.23999999999</v>
      </c>
      <c r="L13" s="93">
        <f>'สร้างความเข้มแข็ง '!E12</f>
        <v>186316.2</v>
      </c>
      <c r="M13" s="93">
        <f>ศาสนา!E12</f>
        <v>574495</v>
      </c>
      <c r="N13" s="93">
        <f>'เกษตร '!E12</f>
        <v>111409.44</v>
      </c>
      <c r="O13" s="93">
        <f>พาณิชย์!E12</f>
        <v>3768</v>
      </c>
      <c r="P13" s="93">
        <f>งบกลาง!E12</f>
        <v>0</v>
      </c>
      <c r="R13" s="212">
        <v>3683519.78</v>
      </c>
      <c r="S13" s="214">
        <f t="shared" si="2"/>
        <v>0</v>
      </c>
    </row>
    <row r="14" spans="1:26" s="92" customFormat="1" ht="21.75">
      <c r="A14" s="91" t="s">
        <v>87</v>
      </c>
      <c r="B14" s="93">
        <f>งานบริหารทั่วไป!B13+'รักษาความสงบ '!B13+'การศึกษา '!B13+สาธารณสุข!B13+สังคมสงเคราะห์!B13+'เคหะและชุมชน '!B13+'สร้างความเข้มแข็ง '!B13+ศาสนา!B13+'เกษตร '!B13+พาณิชย์!B13+งบกลาง!B13</f>
        <v>3211100</v>
      </c>
      <c r="C14" s="136">
        <f>งานบริหารทั่วไป!C13+'รักษาความสงบ '!C13+'การศึกษา '!C13+สาธารณสุข!C13+สังคมสงเคราะห์!C13+'เคหะและชุมชน '!C13+'สร้างความเข้มแข็ง '!C13+ศาสนา!C13+'เกษตร '!C13+พาณิชย์!C13+งบกลาง!C13</f>
        <v>15800</v>
      </c>
      <c r="D14" s="93">
        <f t="shared" si="0"/>
        <v>3226900</v>
      </c>
      <c r="E14" s="93">
        <f t="shared" si="1"/>
        <v>2374207.81</v>
      </c>
      <c r="F14" s="93">
        <f>งานบริหารทั่วไป!E13</f>
        <v>330783</v>
      </c>
      <c r="G14" s="93">
        <f>'รักษาความสงบ '!E13</f>
        <v>174810</v>
      </c>
      <c r="H14" s="93">
        <f>'การศึกษา '!E13</f>
        <v>1278996.81</v>
      </c>
      <c r="I14" s="93">
        <f>สาธารณสุข!E13</f>
        <v>0</v>
      </c>
      <c r="J14" s="93">
        <f>สังคมสงเคราะห์!E13</f>
        <v>0</v>
      </c>
      <c r="K14" s="93">
        <f>'เคหะและชุมชน '!E13</f>
        <v>554148</v>
      </c>
      <c r="L14" s="93">
        <f>'สร้างความเข้มแข็ง '!E13</f>
        <v>0</v>
      </c>
      <c r="M14" s="93">
        <f>ศาสนา!E13</f>
        <v>10350</v>
      </c>
      <c r="N14" s="93">
        <f>'เกษตร '!E13</f>
        <v>25120</v>
      </c>
      <c r="O14" s="93">
        <f>พาณิชย์!E13</f>
        <v>0</v>
      </c>
      <c r="P14" s="93">
        <f>งบกลาง!E13</f>
        <v>0</v>
      </c>
      <c r="R14" s="212">
        <v>2374207.81</v>
      </c>
      <c r="S14" s="214">
        <f t="shared" si="2"/>
        <v>0</v>
      </c>
      <c r="T14" s="92" t="s">
        <v>318</v>
      </c>
    </row>
    <row r="15" spans="1:26" s="92" customFormat="1" ht="21.75">
      <c r="A15" s="91" t="s">
        <v>88</v>
      </c>
      <c r="B15" s="93">
        <f>งานบริหารทั่วไป!B14+'รักษาความสงบ '!B14+'การศึกษา '!B14+สาธารณสุข!B14+สังคมสงเคราะห์!B14+'เคหะและชุมชน '!B14+'สร้างความเข้มแข็ง '!B14+ศาสนา!B14+'เกษตร '!B14+พาณิชย์!B14+งบกลาง!B14</f>
        <v>558000</v>
      </c>
      <c r="C15" s="136">
        <f>งานบริหารทั่วไป!C14+'รักษาความสงบ '!C14+'การศึกษา '!C14+สาธารณสุข!C14+สังคมสงเคราะห์!C14+'เคหะและชุมชน '!C14+'สร้างความเข้มแข็ง '!C14+ศาสนา!C14+'เกษตร '!C14+พาณิชย์!C14+งบกลาง!C14</f>
        <v>75000</v>
      </c>
      <c r="D15" s="93">
        <f t="shared" si="0"/>
        <v>633000</v>
      </c>
      <c r="E15" s="93">
        <f t="shared" si="1"/>
        <v>508954.6</v>
      </c>
      <c r="F15" s="93">
        <f>งานบริหารทั่วไป!E14</f>
        <v>394265.87</v>
      </c>
      <c r="G15" s="93">
        <f>'รักษาความสงบ '!E14</f>
        <v>0</v>
      </c>
      <c r="H15" s="93">
        <f>'การศึกษา '!E14</f>
        <v>33127.440000000002</v>
      </c>
      <c r="I15" s="93">
        <f>สาธารณสุข!E14</f>
        <v>0</v>
      </c>
      <c r="J15" s="93">
        <f>สังคมสงเคราะห์!E14</f>
        <v>0</v>
      </c>
      <c r="K15" s="93">
        <f>'เคหะและชุมชน '!E14</f>
        <v>2000</v>
      </c>
      <c r="L15" s="93">
        <f>'สร้างความเข้มแข็ง '!E14</f>
        <v>0</v>
      </c>
      <c r="M15" s="93">
        <f>ศาสนา!E14</f>
        <v>0</v>
      </c>
      <c r="N15" s="93">
        <f>'เกษตร '!E14</f>
        <v>0</v>
      </c>
      <c r="O15" s="93">
        <f>พาณิชย์!E14</f>
        <v>79561.289999999994</v>
      </c>
      <c r="P15" s="93">
        <f>งบกลาง!E14</f>
        <v>0</v>
      </c>
      <c r="R15" s="212">
        <v>508954.6</v>
      </c>
      <c r="S15" s="214">
        <f t="shared" si="2"/>
        <v>0</v>
      </c>
    </row>
    <row r="16" spans="1:26" s="92" customFormat="1" ht="21.75">
      <c r="A16" s="91" t="s">
        <v>89</v>
      </c>
      <c r="B16" s="93">
        <f>งานบริหารทั่วไป!B15+'รักษาความสงบ '!B15+'การศึกษา '!B15+สาธารณสุข!B15+สังคมสงเคราะห์!B15+'เคหะและชุมชน '!B15+'สร้างความเข้มแข็ง '!B15+ศาสนา!B15+'เกษตร '!B15+พาณิชย์!B15+งบกลาง!B15</f>
        <v>582950</v>
      </c>
      <c r="C16" s="136">
        <f>งานบริหารทั่วไป!C15+'รักษาความสงบ '!C15+'การศึกษา '!C15+สาธารณสุข!C15+สังคมสงเคราะห์!C15+'เคหะและชุมชน '!C15+'สร้างความเข้มแข็ง '!C15+ศาสนา!C15+'เกษตร '!C15+พาณิชย์!C15+งบกลาง!C15</f>
        <v>0</v>
      </c>
      <c r="D16" s="93">
        <f t="shared" si="0"/>
        <v>582950</v>
      </c>
      <c r="E16" s="93">
        <f t="shared" si="1"/>
        <v>483180</v>
      </c>
      <c r="F16" s="93">
        <f>งานบริหารทั่วไป!E15</f>
        <v>188310</v>
      </c>
      <c r="G16" s="93">
        <f>'รักษาความสงบ '!E15</f>
        <v>107800</v>
      </c>
      <c r="H16" s="93">
        <f>'การศึกษา '!E15</f>
        <v>87520</v>
      </c>
      <c r="I16" s="93">
        <f>สาธารณสุข!E15</f>
        <v>0</v>
      </c>
      <c r="J16" s="93">
        <f>สังคมสงเคราะห์!E15</f>
        <v>0</v>
      </c>
      <c r="K16" s="93">
        <f>'เคหะและชุมชน '!E15</f>
        <v>67550</v>
      </c>
      <c r="L16" s="93">
        <f>'สร้างความเข้มแข็ง '!E15</f>
        <v>0</v>
      </c>
      <c r="M16" s="93">
        <f>ศาสนา!E15</f>
        <v>0</v>
      </c>
      <c r="N16" s="93">
        <f>'เกษตร '!E15</f>
        <v>32000</v>
      </c>
      <c r="O16" s="93">
        <f>พาณิชย์!E15</f>
        <v>0</v>
      </c>
      <c r="P16" s="93">
        <f>งบกลาง!E15</f>
        <v>0</v>
      </c>
      <c r="R16" s="212">
        <f>455530+22000+5650</f>
        <v>483180</v>
      </c>
      <c r="S16" s="214">
        <f t="shared" si="2"/>
        <v>0</v>
      </c>
    </row>
    <row r="17" spans="1:19" s="92" customFormat="1" ht="21.75">
      <c r="A17" s="91" t="s">
        <v>90</v>
      </c>
      <c r="B17" s="93">
        <f>งานบริหารทั่วไป!B16+'รักษาความสงบ '!B16+'การศึกษา '!B16+สาธารณสุข!B16+สังคมสงเคราะห์!B16+'เคหะและชุมชน '!B16+'สร้างความเข้มแข็ง '!B16+ศาสนา!B16+'เกษตร '!B16+พาณิชย์!B16+งบกลาง!B16</f>
        <v>9542900</v>
      </c>
      <c r="C17" s="136">
        <f>งานบริหารทั่วไป!C16+'รักษาความสงบ '!C16+'การศึกษา '!C16+สาธารณสุข!C16+สังคมสงเคราะห์!C16+'เคหะและชุมชน '!C16+'สร้างความเข้มแข็ง '!C16+ศาสนา!C16+'เกษตร '!C16+พาณิชย์!C16+งบกลาง!C16</f>
        <v>448000</v>
      </c>
      <c r="D17" s="93">
        <f t="shared" si="0"/>
        <v>9990900</v>
      </c>
      <c r="E17" s="93">
        <f t="shared" si="1"/>
        <v>9919543.6999999993</v>
      </c>
      <c r="F17" s="93">
        <f>งานบริหารทั่วไป!E16</f>
        <v>0</v>
      </c>
      <c r="G17" s="93">
        <f>'รักษาความสงบ '!E16</f>
        <v>277500</v>
      </c>
      <c r="H17" s="93">
        <f>'การศึกษา '!E16</f>
        <v>0</v>
      </c>
      <c r="I17" s="93">
        <f>สาธารณสุข!E16</f>
        <v>0</v>
      </c>
      <c r="J17" s="93">
        <f>สังคมสงเคราะห์!E16</f>
        <v>0</v>
      </c>
      <c r="K17" s="93">
        <f>'เคหะและชุมชน '!E16</f>
        <v>9642043.6999999993</v>
      </c>
      <c r="L17" s="93">
        <f>'สร้างความเข้มแข็ง '!E16</f>
        <v>0</v>
      </c>
      <c r="M17" s="93">
        <f>ศาสนา!E16</f>
        <v>0</v>
      </c>
      <c r="N17" s="93">
        <f>'เกษตร '!E16</f>
        <v>0</v>
      </c>
      <c r="O17" s="93">
        <f>พาณิชย์!E16</f>
        <v>0</v>
      </c>
      <c r="P17" s="93">
        <f>งบกลาง!E16</f>
        <v>0</v>
      </c>
      <c r="R17" s="212">
        <v>9919543.6999999993</v>
      </c>
      <c r="S17" s="214">
        <f t="shared" si="2"/>
        <v>0</v>
      </c>
    </row>
    <row r="18" spans="1:19" s="92" customFormat="1" ht="21.75">
      <c r="A18" s="91" t="s">
        <v>91</v>
      </c>
      <c r="B18" s="93">
        <f>งานบริหารทั่วไป!B17+'รักษาความสงบ '!B17+'การศึกษา '!B17+สาธารณสุข!B17+สังคมสงเคราะห์!B17+'เคหะและชุมชน '!B17+'สร้างความเข้มแข็ง '!B17+ศาสนา!B17+'เกษตร '!B17+พาณิชย์!B17+งบกลาง!B17</f>
        <v>2422800</v>
      </c>
      <c r="C18" s="136">
        <f>งานบริหารทั่วไป!C17+'รักษาความสงบ '!C17+'การศึกษา '!C17+สาธารณสุข!C17+สังคมสงเคราะห์!C17+'เคหะและชุมชน '!C17+'สร้างความเข้มแข็ง '!C17+ศาสนา!C17+'เกษตร '!C17+พาณิชย์!C17+งบกลาง!C17</f>
        <v>-107500</v>
      </c>
      <c r="D18" s="93">
        <f t="shared" si="0"/>
        <v>2315300</v>
      </c>
      <c r="E18" s="93">
        <f t="shared" si="1"/>
        <v>2253573.0499999998</v>
      </c>
      <c r="F18" s="93">
        <f>งานบริหารทั่วไป!E17</f>
        <v>0</v>
      </c>
      <c r="G18" s="93">
        <f>'รักษาความสงบ '!E17</f>
        <v>0</v>
      </c>
      <c r="H18" s="93">
        <f>'การศึกษา '!E17</f>
        <v>1437800</v>
      </c>
      <c r="I18" s="93">
        <f>สาธารณสุข!E17</f>
        <v>303220</v>
      </c>
      <c r="J18" s="93">
        <f>สังคมสงเคราะห์!E17</f>
        <v>0</v>
      </c>
      <c r="K18" s="93">
        <f>'เคหะและชุมชน '!E17</f>
        <v>512553.05</v>
      </c>
      <c r="L18" s="93">
        <f>'สร้างความเข้มแข็ง '!E17</f>
        <v>0</v>
      </c>
      <c r="M18" s="93">
        <f>ศาสนา!E17</f>
        <v>0</v>
      </c>
      <c r="N18" s="93">
        <f>'เกษตร '!E17</f>
        <v>0</v>
      </c>
      <c r="O18" s="93">
        <f>พาณิชย์!E17</f>
        <v>0</v>
      </c>
      <c r="P18" s="93">
        <f>งบกลาง!E17</f>
        <v>0</v>
      </c>
      <c r="R18" s="212">
        <v>2253573.0499999998</v>
      </c>
      <c r="S18" s="214">
        <f t="shared" si="2"/>
        <v>0</v>
      </c>
    </row>
    <row r="19" spans="1:19" s="92" customFormat="1" ht="21.75">
      <c r="A19" s="94" t="s">
        <v>92</v>
      </c>
      <c r="B19" s="93">
        <f>งานบริหารทั่วไป!B18+'รักษาความสงบ '!B18+'การศึกษา '!B18+สาธารณสุข!B18+สังคมสงเคราะห์!B18+'เคหะและชุมชน '!B18+'สร้างความเข้มแข็ง '!B18+ศาสนา!B18+'เกษตร '!B18+พาณิชย์!B18+งบกลาง!B18</f>
        <v>30000</v>
      </c>
      <c r="C19" s="136">
        <f>งานบริหารทั่วไป!C18+'รักษาความสงบ '!C18+'การศึกษา '!C18+สาธารณสุข!C18+สังคมสงเคราะห์!C18+'เคหะและชุมชน '!C18+'สร้างความเข้มแข็ง '!C18+ศาสนา!C18+'เกษตร '!C18+พาณิชย์!C18+งบกลาง!C18</f>
        <v>0</v>
      </c>
      <c r="D19" s="93">
        <f t="shared" si="0"/>
        <v>30000</v>
      </c>
      <c r="E19" s="93">
        <f t="shared" si="1"/>
        <v>25000</v>
      </c>
      <c r="F19" s="93">
        <f>งานบริหารทั่วไป!E18</f>
        <v>25000</v>
      </c>
      <c r="G19" s="93">
        <f>'รักษาความสงบ '!E18</f>
        <v>0</v>
      </c>
      <c r="H19" s="93">
        <f>'การศึกษา '!E18</f>
        <v>0</v>
      </c>
      <c r="I19" s="93">
        <f>สาธารณสุข!E18</f>
        <v>0</v>
      </c>
      <c r="J19" s="93">
        <f>สังคมสงเคราะห์!E18</f>
        <v>0</v>
      </c>
      <c r="K19" s="93">
        <f>'เคหะและชุมชน '!E18</f>
        <v>0</v>
      </c>
      <c r="L19" s="93">
        <f>'สร้างความเข้มแข็ง '!E18</f>
        <v>0</v>
      </c>
      <c r="M19" s="93">
        <f>ศาสนา!E18</f>
        <v>0</v>
      </c>
      <c r="N19" s="93">
        <f>'เกษตร '!E18</f>
        <v>0</v>
      </c>
      <c r="O19" s="93">
        <f>พาณิชย์!E18</f>
        <v>0</v>
      </c>
      <c r="P19" s="93">
        <f>งบกลาง!E18</f>
        <v>0</v>
      </c>
      <c r="R19" s="212">
        <v>25000</v>
      </c>
      <c r="S19" s="214">
        <f t="shared" si="2"/>
        <v>0</v>
      </c>
    </row>
    <row r="20" spans="1:19" s="92" customFormat="1" ht="22.5" thickBot="1">
      <c r="A20" s="95" t="s">
        <v>36</v>
      </c>
      <c r="B20" s="96">
        <f t="shared" ref="B20:P20" si="3">SUM(B9:B19)</f>
        <v>35603000</v>
      </c>
      <c r="C20" s="96"/>
      <c r="D20" s="96">
        <f t="shared" si="3"/>
        <v>35603000</v>
      </c>
      <c r="E20" s="96">
        <f>SUM(E9:E19)</f>
        <v>30892154.900000002</v>
      </c>
      <c r="F20" s="96">
        <f t="shared" si="3"/>
        <v>9569787.7399999984</v>
      </c>
      <c r="G20" s="96">
        <f t="shared" si="3"/>
        <v>1332968.1200000001</v>
      </c>
      <c r="H20" s="96">
        <f t="shared" si="3"/>
        <v>4685437.25</v>
      </c>
      <c r="I20" s="96">
        <f t="shared" si="3"/>
        <v>518722.2</v>
      </c>
      <c r="J20" s="96">
        <f t="shared" si="3"/>
        <v>0</v>
      </c>
      <c r="K20" s="96">
        <f t="shared" si="3"/>
        <v>12731174.66</v>
      </c>
      <c r="L20" s="96">
        <f t="shared" si="3"/>
        <v>186316.2</v>
      </c>
      <c r="M20" s="96">
        <f t="shared" si="3"/>
        <v>584845</v>
      </c>
      <c r="N20" s="96">
        <f t="shared" si="3"/>
        <v>428880.44</v>
      </c>
      <c r="O20" s="96">
        <f t="shared" si="3"/>
        <v>83329.289999999994</v>
      </c>
      <c r="P20" s="96">
        <f t="shared" si="3"/>
        <v>770694</v>
      </c>
    </row>
    <row r="21" spans="1:19" s="92" customFormat="1" ht="22.5" thickTop="1">
      <c r="A21" s="90" t="s">
        <v>131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9" s="92" customFormat="1" ht="21.75">
      <c r="A22" s="91" t="s">
        <v>284</v>
      </c>
      <c r="B22" s="93">
        <v>2522000</v>
      </c>
      <c r="C22" s="93"/>
      <c r="D22" s="170">
        <v>2522000</v>
      </c>
      <c r="E22" s="93">
        <v>3101052.39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1:19" s="92" customFormat="1" ht="21.75">
      <c r="A23" s="91" t="s">
        <v>177</v>
      </c>
      <c r="B23" s="93">
        <v>19848000</v>
      </c>
      <c r="C23" s="93"/>
      <c r="D23" s="170">
        <v>19848000</v>
      </c>
      <c r="E23" s="93">
        <v>24761804.280000001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1:19" s="92" customFormat="1" ht="21.75">
      <c r="A24" s="91" t="s">
        <v>178</v>
      </c>
      <c r="B24" s="93">
        <v>416500</v>
      </c>
      <c r="C24" s="93"/>
      <c r="D24" s="170">
        <v>416500</v>
      </c>
      <c r="E24" s="93">
        <v>492208.32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9" s="92" customFormat="1" ht="21.75">
      <c r="A25" s="91" t="s">
        <v>179</v>
      </c>
      <c r="B25" s="93">
        <v>370500</v>
      </c>
      <c r="C25" s="93"/>
      <c r="D25" s="170">
        <v>370500</v>
      </c>
      <c r="E25" s="93">
        <v>643384.87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9" s="92" customFormat="1" ht="21.75">
      <c r="A26" s="91" t="s">
        <v>180</v>
      </c>
      <c r="B26" s="93">
        <v>181000</v>
      </c>
      <c r="C26" s="93"/>
      <c r="D26" s="170">
        <v>181000</v>
      </c>
      <c r="E26" s="93">
        <v>199185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1:19" s="92" customFormat="1" ht="21.75">
      <c r="A27" s="91" t="s">
        <v>181</v>
      </c>
      <c r="B27" s="93">
        <v>255000</v>
      </c>
      <c r="C27" s="93"/>
      <c r="D27" s="170">
        <v>255000</v>
      </c>
      <c r="E27" s="93">
        <v>208076.4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19" s="92" customFormat="1" ht="21.75">
      <c r="A28" s="91" t="s">
        <v>203</v>
      </c>
      <c r="B28" s="93">
        <v>10000</v>
      </c>
      <c r="C28" s="93"/>
      <c r="D28" s="170">
        <v>10000</v>
      </c>
      <c r="E28" s="93">
        <v>44000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9" s="92" customFormat="1" ht="21.75">
      <c r="A29" s="91" t="s">
        <v>182</v>
      </c>
      <c r="B29" s="93">
        <v>12000000</v>
      </c>
      <c r="C29" s="93"/>
      <c r="D29" s="170">
        <v>12000000</v>
      </c>
      <c r="E29" s="93">
        <v>11881948.029999999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9" s="92" customFormat="1" ht="22.5" thickBot="1">
      <c r="A30" s="98" t="s">
        <v>132</v>
      </c>
      <c r="B30" s="96">
        <f>SUM(B22:B29)</f>
        <v>35603000</v>
      </c>
      <c r="C30" s="96"/>
      <c r="D30" s="96">
        <f>SUM(D22:D29)</f>
        <v>35603000</v>
      </c>
      <c r="E30" s="96">
        <f>SUM(E22:E29)</f>
        <v>41331659.289999999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1:19" s="92" customFormat="1" ht="23.25" thickTop="1" thickBot="1">
      <c r="A31" s="99" t="s">
        <v>133</v>
      </c>
      <c r="B31" s="137"/>
      <c r="C31" s="137"/>
      <c r="D31" s="138"/>
      <c r="E31" s="139">
        <f>SUM(E30-E20)</f>
        <v>10439504.389999997</v>
      </c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1:19" ht="24.75" thickTop="1"/>
    <row r="34" spans="5:5">
      <c r="E34" s="102"/>
    </row>
  </sheetData>
  <mergeCells count="4">
    <mergeCell ref="A1:P1"/>
    <mergeCell ref="A2:P2"/>
    <mergeCell ref="A3:P3"/>
    <mergeCell ref="A4:P4"/>
  </mergeCells>
  <phoneticPr fontId="52" type="noConversion"/>
  <pageMargins left="0.49" right="0.17" top="0.81" bottom="0.19685039370078741" header="0.55000000000000004" footer="0.51181102362204722"/>
  <pageSetup paperSize="9"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E14" sqref="E13:E14"/>
    </sheetView>
  </sheetViews>
  <sheetFormatPr defaultRowHeight="24"/>
  <cols>
    <col min="1" max="1" width="39" style="114" customWidth="1"/>
    <col min="2" max="2" width="16" style="114" hidden="1" customWidth="1"/>
    <col min="3" max="3" width="0.28515625" style="114" hidden="1" customWidth="1"/>
    <col min="4" max="4" width="22.85546875" style="114" customWidth="1"/>
    <col min="5" max="5" width="24.42578125" style="114" customWidth="1"/>
    <col min="6" max="7" width="22.85546875" style="114" customWidth="1"/>
    <col min="8" max="8" width="6" style="112" customWidth="1"/>
    <col min="9" max="10" width="12.5703125" style="113" customWidth="1"/>
    <col min="11" max="12" width="13.85546875" style="114" bestFit="1" customWidth="1"/>
    <col min="13" max="14" width="11" style="114" bestFit="1" customWidth="1"/>
    <col min="15" max="16384" width="9.140625" style="114"/>
  </cols>
  <sheetData>
    <row r="1" spans="1:14" ht="27.75">
      <c r="A1" s="339" t="s">
        <v>0</v>
      </c>
      <c r="B1" s="339"/>
      <c r="C1" s="339"/>
      <c r="D1" s="339"/>
      <c r="E1" s="339"/>
      <c r="F1" s="339"/>
      <c r="G1" s="339"/>
    </row>
    <row r="2" spans="1:14" ht="27.75">
      <c r="A2" s="339" t="s">
        <v>70</v>
      </c>
      <c r="B2" s="339"/>
      <c r="C2" s="339"/>
      <c r="D2" s="339"/>
      <c r="E2" s="339"/>
      <c r="F2" s="339"/>
      <c r="G2" s="339"/>
    </row>
    <row r="3" spans="1:14" ht="27.75">
      <c r="A3" s="339" t="s">
        <v>75</v>
      </c>
      <c r="B3" s="339"/>
      <c r="C3" s="339"/>
      <c r="D3" s="339"/>
      <c r="E3" s="339"/>
      <c r="F3" s="339"/>
      <c r="G3" s="339"/>
    </row>
    <row r="4" spans="1:14" ht="27.75">
      <c r="A4" s="340" t="s">
        <v>340</v>
      </c>
      <c r="B4" s="340"/>
      <c r="C4" s="340"/>
      <c r="D4" s="340"/>
      <c r="E4" s="340"/>
      <c r="F4" s="340"/>
      <c r="G4" s="340"/>
    </row>
    <row r="5" spans="1:14" ht="22.5" customHeight="1">
      <c r="A5" s="115"/>
      <c r="B5" s="115"/>
      <c r="C5" s="115"/>
      <c r="D5" s="115"/>
      <c r="E5" s="115"/>
      <c r="F5" s="115"/>
      <c r="G5" s="115"/>
    </row>
    <row r="6" spans="1:14" s="119" customFormat="1" ht="23.25" customHeight="1">
      <c r="A6" s="116" t="s">
        <v>76</v>
      </c>
      <c r="B6" s="116" t="s">
        <v>77</v>
      </c>
      <c r="C6" s="116" t="s">
        <v>78</v>
      </c>
      <c r="D6" s="116" t="s">
        <v>77</v>
      </c>
      <c r="E6" s="116" t="s">
        <v>36</v>
      </c>
      <c r="F6" s="116" t="s">
        <v>79</v>
      </c>
      <c r="G6" s="116" t="s">
        <v>80</v>
      </c>
      <c r="H6" s="117"/>
      <c r="I6" s="118"/>
      <c r="J6" s="118"/>
    </row>
    <row r="7" spans="1:14">
      <c r="A7" s="120" t="s">
        <v>81</v>
      </c>
      <c r="B7" s="121"/>
      <c r="C7" s="121"/>
      <c r="D7" s="121"/>
      <c r="E7" s="121"/>
      <c r="F7" s="121"/>
      <c r="G7" s="121"/>
      <c r="K7" s="3">
        <v>196035</v>
      </c>
      <c r="L7" s="3">
        <v>92640</v>
      </c>
      <c r="M7" s="3">
        <v>2400</v>
      </c>
      <c r="N7" s="3">
        <v>1950</v>
      </c>
    </row>
    <row r="8" spans="1:14">
      <c r="A8" s="121" t="s">
        <v>82</v>
      </c>
      <c r="B8" s="122"/>
      <c r="C8" s="122"/>
      <c r="D8" s="122"/>
      <c r="E8" s="122">
        <f t="shared" ref="E8:E18" si="0">SUM(F8:G8)</f>
        <v>0</v>
      </c>
      <c r="F8" s="122"/>
      <c r="G8" s="122"/>
      <c r="K8" s="3">
        <v>196035</v>
      </c>
      <c r="L8" s="3">
        <v>90640</v>
      </c>
      <c r="M8" s="3">
        <v>3420</v>
      </c>
      <c r="N8" s="3">
        <v>7572</v>
      </c>
    </row>
    <row r="9" spans="1:14">
      <c r="A9" s="121" t="s">
        <v>83</v>
      </c>
      <c r="B9" s="122">
        <v>2928480</v>
      </c>
      <c r="C9" s="122"/>
      <c r="D9" s="122">
        <f t="shared" ref="D9:D18" si="1">B9+C9</f>
        <v>2928480</v>
      </c>
      <c r="E9" s="122">
        <f t="shared" si="0"/>
        <v>2624640</v>
      </c>
      <c r="F9" s="122">
        <v>2624640</v>
      </c>
      <c r="G9" s="122"/>
      <c r="K9" s="3">
        <v>196035</v>
      </c>
      <c r="L9" s="3">
        <v>92640</v>
      </c>
      <c r="M9" s="3">
        <v>9593</v>
      </c>
      <c r="N9" s="3">
        <v>2540</v>
      </c>
    </row>
    <row r="10" spans="1:14">
      <c r="A10" s="121" t="s">
        <v>84</v>
      </c>
      <c r="B10" s="122">
        <v>3951300</v>
      </c>
      <c r="C10" s="123">
        <v>104400</v>
      </c>
      <c r="D10" s="122">
        <f t="shared" si="1"/>
        <v>4055700</v>
      </c>
      <c r="E10" s="122">
        <f t="shared" si="0"/>
        <v>3721585.79</v>
      </c>
      <c r="F10" s="122">
        <v>2592756.79</v>
      </c>
      <c r="G10" s="122">
        <f>1114629+14200</f>
        <v>1128829</v>
      </c>
      <c r="K10" s="3">
        <v>215504.86</v>
      </c>
      <c r="L10" s="3">
        <v>91985</v>
      </c>
      <c r="M10" s="3">
        <v>4080</v>
      </c>
      <c r="N10" s="3">
        <v>1950</v>
      </c>
    </row>
    <row r="11" spans="1:14" s="128" customFormat="1">
      <c r="A11" s="124" t="s">
        <v>85</v>
      </c>
      <c r="B11" s="122">
        <v>1080400</v>
      </c>
      <c r="C11" s="210">
        <f>1000-14200</f>
        <v>-13200</v>
      </c>
      <c r="D11" s="122">
        <f t="shared" si="1"/>
        <v>1067200</v>
      </c>
      <c r="E11" s="125">
        <f t="shared" si="0"/>
        <v>953740.5</v>
      </c>
      <c r="F11" s="125">
        <f>85851.5+540000</f>
        <v>625851.5</v>
      </c>
      <c r="G11" s="125">
        <f>60939+265000+1950</f>
        <v>327889</v>
      </c>
      <c r="H11" s="126"/>
      <c r="I11" s="127"/>
      <c r="J11" s="127"/>
      <c r="K11" s="215">
        <v>205565</v>
      </c>
      <c r="L11" s="215">
        <v>91985</v>
      </c>
      <c r="M11" s="215">
        <v>3780</v>
      </c>
      <c r="N11" s="215">
        <v>2730</v>
      </c>
    </row>
    <row r="12" spans="1:14">
      <c r="A12" s="121" t="s">
        <v>86</v>
      </c>
      <c r="B12" s="122">
        <v>1943000</v>
      </c>
      <c r="C12" s="210">
        <f>100000-400400</f>
        <v>-300400</v>
      </c>
      <c r="D12" s="122">
        <f t="shared" si="1"/>
        <v>1642600</v>
      </c>
      <c r="E12" s="122">
        <f t="shared" si="0"/>
        <v>1331462.5799999998</v>
      </c>
      <c r="F12" s="122">
        <f>1160386.44+103370</f>
        <v>1263756.44</v>
      </c>
      <c r="G12" s="122">
        <v>67706.14</v>
      </c>
      <c r="K12" s="3">
        <v>205565</v>
      </c>
      <c r="L12" s="3">
        <v>93950</v>
      </c>
      <c r="M12" s="3">
        <v>13171</v>
      </c>
      <c r="N12" s="3">
        <v>810</v>
      </c>
    </row>
    <row r="13" spans="1:14">
      <c r="A13" s="121" t="s">
        <v>87</v>
      </c>
      <c r="B13" s="122">
        <v>547000</v>
      </c>
      <c r="C13" s="211">
        <v>30000</v>
      </c>
      <c r="D13" s="122">
        <f t="shared" si="1"/>
        <v>577000</v>
      </c>
      <c r="E13" s="122">
        <f t="shared" si="0"/>
        <v>330783</v>
      </c>
      <c r="F13" s="122">
        <v>263046</v>
      </c>
      <c r="G13" s="122">
        <v>67737</v>
      </c>
      <c r="K13" s="3">
        <v>207115</v>
      </c>
      <c r="L13" s="3">
        <v>93360</v>
      </c>
      <c r="M13" s="3">
        <v>3660</v>
      </c>
      <c r="N13" s="3">
        <v>3900</v>
      </c>
    </row>
    <row r="14" spans="1:14">
      <c r="A14" s="121" t="s">
        <v>88</v>
      </c>
      <c r="B14" s="122">
        <v>412600</v>
      </c>
      <c r="C14" s="211">
        <v>67500</v>
      </c>
      <c r="D14" s="122">
        <f t="shared" si="1"/>
        <v>480100</v>
      </c>
      <c r="E14" s="122">
        <f t="shared" si="0"/>
        <v>394265.87</v>
      </c>
      <c r="F14" s="122">
        <v>384265.87</v>
      </c>
      <c r="G14" s="122">
        <v>10000</v>
      </c>
      <c r="J14" s="3"/>
      <c r="K14" s="3">
        <v>207115</v>
      </c>
      <c r="L14" s="3">
        <v>93360</v>
      </c>
      <c r="M14" s="3">
        <v>5082</v>
      </c>
      <c r="N14" s="3">
        <v>2890</v>
      </c>
    </row>
    <row r="15" spans="1:14">
      <c r="A15" s="121" t="s">
        <v>89</v>
      </c>
      <c r="B15" s="122">
        <v>214500</v>
      </c>
      <c r="C15" s="210"/>
      <c r="D15" s="122">
        <f t="shared" si="1"/>
        <v>214500</v>
      </c>
      <c r="E15" s="122">
        <f t="shared" si="0"/>
        <v>188310</v>
      </c>
      <c r="F15" s="122">
        <v>146950</v>
      </c>
      <c r="G15" s="122">
        <v>41360</v>
      </c>
      <c r="K15" s="3">
        <v>228907.25</v>
      </c>
      <c r="L15" s="3">
        <v>93360</v>
      </c>
      <c r="M15" s="3">
        <v>12041</v>
      </c>
      <c r="N15" s="3">
        <v>8270</v>
      </c>
    </row>
    <row r="16" spans="1:14">
      <c r="A16" s="121" t="s">
        <v>90</v>
      </c>
      <c r="B16" s="122"/>
      <c r="C16" s="210"/>
      <c r="D16" s="122">
        <f t="shared" si="1"/>
        <v>0</v>
      </c>
      <c r="E16" s="122">
        <f t="shared" si="0"/>
        <v>0</v>
      </c>
      <c r="F16" s="122"/>
      <c r="G16" s="122"/>
      <c r="K16" s="3">
        <v>223064.68</v>
      </c>
      <c r="L16" s="3">
        <v>93360</v>
      </c>
      <c r="M16" s="3">
        <v>7318</v>
      </c>
      <c r="N16" s="3">
        <v>13021</v>
      </c>
    </row>
    <row r="17" spans="1:14">
      <c r="A17" s="121" t="s">
        <v>91</v>
      </c>
      <c r="B17" s="122"/>
      <c r="C17" s="210"/>
      <c r="D17" s="122">
        <f t="shared" si="1"/>
        <v>0</v>
      </c>
      <c r="E17" s="122">
        <f t="shared" si="0"/>
        <v>0</v>
      </c>
      <c r="F17" s="122"/>
      <c r="G17" s="122"/>
      <c r="K17" s="3">
        <v>222115</v>
      </c>
      <c r="L17" s="3">
        <v>93360</v>
      </c>
      <c r="M17" s="3">
        <v>14531.5</v>
      </c>
      <c r="N17" s="3">
        <v>3040</v>
      </c>
    </row>
    <row r="18" spans="1:14">
      <c r="A18" s="129" t="s">
        <v>92</v>
      </c>
      <c r="B18" s="130">
        <v>30000</v>
      </c>
      <c r="C18" s="210"/>
      <c r="D18" s="122">
        <f t="shared" si="1"/>
        <v>30000</v>
      </c>
      <c r="E18" s="122">
        <f t="shared" si="0"/>
        <v>25000</v>
      </c>
      <c r="F18" s="122">
        <v>25000</v>
      </c>
      <c r="G18" s="122"/>
      <c r="K18" s="3">
        <v>290400</v>
      </c>
      <c r="L18" s="3">
        <v>93989</v>
      </c>
      <c r="M18" s="3">
        <v>5795</v>
      </c>
      <c r="N18" s="3">
        <v>11665</v>
      </c>
    </row>
    <row r="19" spans="1:14" ht="24.75" thickBot="1">
      <c r="A19" s="131" t="s">
        <v>36</v>
      </c>
      <c r="B19" s="132">
        <f t="shared" ref="B19:G19" si="2">SUM(B8:B18)</f>
        <v>11107280</v>
      </c>
      <c r="C19" s="210">
        <f t="shared" si="2"/>
        <v>-111700</v>
      </c>
      <c r="D19" s="132">
        <f t="shared" si="2"/>
        <v>10995580</v>
      </c>
      <c r="E19" s="132">
        <f t="shared" si="2"/>
        <v>9569787.7399999984</v>
      </c>
      <c r="F19" s="132">
        <f t="shared" si="2"/>
        <v>7926266.6000000006</v>
      </c>
      <c r="G19" s="132">
        <f t="shared" si="2"/>
        <v>1643521.14</v>
      </c>
      <c r="K19" s="216">
        <f>SUM(K7:K18)</f>
        <v>2593456.79</v>
      </c>
      <c r="L19" s="216">
        <f>SUM(L7:L18)</f>
        <v>1114629</v>
      </c>
      <c r="M19" s="3">
        <f>SUM(M7:M18)</f>
        <v>84871.5</v>
      </c>
      <c r="N19" s="216">
        <f>SUM(N7:N18)</f>
        <v>60338</v>
      </c>
    </row>
    <row r="20" spans="1:14" ht="24.75" thickTop="1">
      <c r="K20" s="114">
        <v>-700</v>
      </c>
    </row>
    <row r="21" spans="1:14">
      <c r="B21" s="112"/>
      <c r="C21" s="112"/>
      <c r="D21" s="112"/>
    </row>
    <row r="22" spans="1:14">
      <c r="B22" s="112"/>
      <c r="J22" s="113" t="s">
        <v>308</v>
      </c>
    </row>
    <row r="23" spans="1:14">
      <c r="B23" s="112">
        <v>135218.15</v>
      </c>
      <c r="C23" s="133" t="s">
        <v>325</v>
      </c>
      <c r="D23" s="133"/>
      <c r="J23" s="113" t="s">
        <v>289</v>
      </c>
      <c r="K23" s="3">
        <v>14200</v>
      </c>
    </row>
    <row r="24" spans="1:14">
      <c r="B24" s="112"/>
      <c r="J24" s="113" t="s">
        <v>309</v>
      </c>
    </row>
    <row r="25" spans="1:14">
      <c r="B25" s="112"/>
      <c r="J25" s="113">
        <v>5850</v>
      </c>
      <c r="K25" s="114" t="s">
        <v>316</v>
      </c>
      <c r="L25" s="114" t="s">
        <v>317</v>
      </c>
    </row>
    <row r="26" spans="1:14">
      <c r="B26" s="112"/>
      <c r="J26" s="113">
        <v>1950</v>
      </c>
      <c r="K26" s="114" t="s">
        <v>316</v>
      </c>
      <c r="L26" s="114" t="s">
        <v>289</v>
      </c>
    </row>
    <row r="28" spans="1:14">
      <c r="B28" s="112"/>
    </row>
  </sheetData>
  <mergeCells count="4">
    <mergeCell ref="A1:G1"/>
    <mergeCell ref="A2:G2"/>
    <mergeCell ref="A3:G3"/>
    <mergeCell ref="A4:G4"/>
  </mergeCells>
  <phoneticPr fontId="52" type="noConversion"/>
  <printOptions horizontalCentered="1"/>
  <pageMargins left="0.66" right="0.55118110236220474" top="0.48" bottom="0.19685039370078741" header="0.5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E14" sqref="E13:E14"/>
    </sheetView>
  </sheetViews>
  <sheetFormatPr defaultRowHeight="24"/>
  <cols>
    <col min="1" max="1" width="33" style="114" customWidth="1"/>
    <col min="2" max="3" width="16" style="114" hidden="1" customWidth="1"/>
    <col min="4" max="7" width="26.42578125" style="114" customWidth="1"/>
    <col min="8" max="8" width="6" style="112" customWidth="1"/>
    <col min="9" max="9" width="12.7109375" style="113" customWidth="1"/>
    <col min="10" max="10" width="10.28515625" style="113" customWidth="1"/>
    <col min="11" max="16384" width="9.140625" style="114"/>
  </cols>
  <sheetData>
    <row r="1" spans="1:10" ht="27.75">
      <c r="A1" s="339" t="s">
        <v>0</v>
      </c>
      <c r="B1" s="339"/>
      <c r="C1" s="339"/>
      <c r="D1" s="339"/>
      <c r="E1" s="339"/>
      <c r="F1" s="339"/>
      <c r="G1" s="339"/>
    </row>
    <row r="2" spans="1:10" ht="27.75">
      <c r="A2" s="339" t="s">
        <v>70</v>
      </c>
      <c r="B2" s="339"/>
      <c r="C2" s="339"/>
      <c r="D2" s="339"/>
      <c r="E2" s="339"/>
      <c r="F2" s="339"/>
      <c r="G2" s="339"/>
    </row>
    <row r="3" spans="1:10" ht="27.75">
      <c r="A3" s="339" t="s">
        <v>153</v>
      </c>
      <c r="B3" s="339"/>
      <c r="C3" s="339"/>
      <c r="D3" s="339"/>
      <c r="E3" s="339"/>
      <c r="F3" s="339"/>
      <c r="G3" s="339"/>
    </row>
    <row r="4" spans="1:10" ht="27.75">
      <c r="A4" s="340" t="s">
        <v>285</v>
      </c>
      <c r="B4" s="340"/>
      <c r="C4" s="340"/>
      <c r="D4" s="340"/>
      <c r="E4" s="340"/>
      <c r="F4" s="340"/>
      <c r="G4" s="340"/>
    </row>
    <row r="5" spans="1:10" ht="27.75">
      <c r="A5" s="115"/>
      <c r="B5" s="115"/>
      <c r="C5" s="115"/>
      <c r="D5" s="115"/>
      <c r="E5" s="115"/>
      <c r="F5" s="115"/>
      <c r="G5" s="115"/>
    </row>
    <row r="6" spans="1:10" s="119" customFormat="1" ht="48">
      <c r="A6" s="116" t="s">
        <v>76</v>
      </c>
      <c r="B6" s="116" t="s">
        <v>77</v>
      </c>
      <c r="C6" s="116" t="s">
        <v>78</v>
      </c>
      <c r="D6" s="116" t="s">
        <v>77</v>
      </c>
      <c r="E6" s="116" t="s">
        <v>36</v>
      </c>
      <c r="F6" s="116" t="s">
        <v>154</v>
      </c>
      <c r="G6" s="116" t="s">
        <v>155</v>
      </c>
      <c r="H6" s="117"/>
      <c r="I6" s="118"/>
      <c r="J6" s="118"/>
    </row>
    <row r="7" spans="1:10">
      <c r="A7" s="120" t="s">
        <v>81</v>
      </c>
      <c r="B7" s="121"/>
      <c r="C7" s="121"/>
      <c r="D7" s="121"/>
      <c r="E7" s="121"/>
      <c r="F7" s="121"/>
      <c r="G7" s="121"/>
    </row>
    <row r="8" spans="1:10">
      <c r="A8" s="121" t="s">
        <v>82</v>
      </c>
      <c r="B8" s="122"/>
      <c r="C8" s="122"/>
      <c r="D8" s="122"/>
      <c r="E8" s="122">
        <f t="shared" ref="E8:E18" si="0">SUM(F8:G8)</f>
        <v>0</v>
      </c>
      <c r="F8" s="122"/>
      <c r="G8" s="122"/>
    </row>
    <row r="9" spans="1:10">
      <c r="A9" s="121" t="s">
        <v>83</v>
      </c>
      <c r="B9" s="122"/>
      <c r="C9" s="122"/>
      <c r="D9" s="122">
        <f t="shared" ref="D9:D14" si="1">B9+C9</f>
        <v>0</v>
      </c>
      <c r="E9" s="122">
        <f t="shared" si="0"/>
        <v>0</v>
      </c>
      <c r="F9" s="122"/>
      <c r="G9" s="122"/>
    </row>
    <row r="10" spans="1:10">
      <c r="A10" s="121" t="s">
        <v>84</v>
      </c>
      <c r="B10" s="122">
        <v>343920</v>
      </c>
      <c r="C10" s="123"/>
      <c r="D10" s="122">
        <f t="shared" si="1"/>
        <v>343920</v>
      </c>
      <c r="E10" s="122">
        <f t="shared" si="0"/>
        <v>307037</v>
      </c>
      <c r="F10" s="122">
        <v>307037</v>
      </c>
      <c r="G10" s="122"/>
    </row>
    <row r="11" spans="1:10">
      <c r="A11" s="121" t="s">
        <v>85</v>
      </c>
      <c r="B11" s="122">
        <v>238000</v>
      </c>
      <c r="C11" s="123">
        <v>20000</v>
      </c>
      <c r="D11" s="122">
        <f t="shared" si="1"/>
        <v>258000</v>
      </c>
      <c r="E11" s="122">
        <f t="shared" si="0"/>
        <v>219660</v>
      </c>
      <c r="F11" s="122">
        <f>142660+77000</f>
        <v>219660</v>
      </c>
      <c r="G11" s="122"/>
    </row>
    <row r="12" spans="1:10">
      <c r="A12" s="121" t="s">
        <v>86</v>
      </c>
      <c r="B12" s="122">
        <v>365000</v>
      </c>
      <c r="C12" s="134">
        <f>10000-50000</f>
        <v>-40000</v>
      </c>
      <c r="D12" s="122">
        <f t="shared" si="1"/>
        <v>325000</v>
      </c>
      <c r="E12" s="122">
        <f t="shared" si="0"/>
        <v>246161.12</v>
      </c>
      <c r="F12" s="122">
        <v>38193.120000000003</v>
      </c>
      <c r="G12" s="122">
        <v>207968</v>
      </c>
    </row>
    <row r="13" spans="1:10">
      <c r="A13" s="121" t="s">
        <v>87</v>
      </c>
      <c r="B13" s="122">
        <v>263000</v>
      </c>
      <c r="C13" s="123"/>
      <c r="D13" s="122">
        <f t="shared" si="1"/>
        <v>263000</v>
      </c>
      <c r="E13" s="122">
        <f t="shared" si="0"/>
        <v>174810</v>
      </c>
      <c r="F13" s="122">
        <v>174810</v>
      </c>
      <c r="G13" s="122"/>
    </row>
    <row r="14" spans="1:10">
      <c r="A14" s="121" t="s">
        <v>88</v>
      </c>
      <c r="B14" s="122">
        <v>500</v>
      </c>
      <c r="C14" s="123"/>
      <c r="D14" s="122">
        <f t="shared" si="1"/>
        <v>500</v>
      </c>
      <c r="E14" s="122">
        <f t="shared" si="0"/>
        <v>0</v>
      </c>
      <c r="F14" s="122"/>
      <c r="G14" s="122"/>
    </row>
    <row r="15" spans="1:10">
      <c r="A15" s="121" t="s">
        <v>89</v>
      </c>
      <c r="B15" s="122">
        <v>148000</v>
      </c>
      <c r="C15" s="134"/>
      <c r="D15" s="122">
        <f>B15-C15</f>
        <v>148000</v>
      </c>
      <c r="E15" s="122">
        <f t="shared" si="0"/>
        <v>107800</v>
      </c>
      <c r="F15" s="122">
        <f>14700+5400</f>
        <v>20100</v>
      </c>
      <c r="G15" s="122">
        <v>87700</v>
      </c>
    </row>
    <row r="16" spans="1:10">
      <c r="A16" s="121" t="s">
        <v>90</v>
      </c>
      <c r="B16" s="122"/>
      <c r="C16" s="123">
        <v>279000</v>
      </c>
      <c r="D16" s="122">
        <f>C16</f>
        <v>279000</v>
      </c>
      <c r="E16" s="122">
        <f t="shared" si="0"/>
        <v>277500</v>
      </c>
      <c r="F16" s="122">
        <v>277500</v>
      </c>
      <c r="G16" s="122"/>
    </row>
    <row r="17" spans="1:7">
      <c r="A17" s="121" t="s">
        <v>91</v>
      </c>
      <c r="B17" s="122"/>
      <c r="C17" s="122"/>
      <c r="D17" s="122"/>
      <c r="E17" s="122">
        <f t="shared" si="0"/>
        <v>0</v>
      </c>
      <c r="F17" s="122"/>
      <c r="G17" s="122"/>
    </row>
    <row r="18" spans="1:7">
      <c r="A18" s="129" t="s">
        <v>92</v>
      </c>
      <c r="B18" s="130"/>
      <c r="C18" s="130"/>
      <c r="D18" s="122"/>
      <c r="E18" s="122">
        <f t="shared" si="0"/>
        <v>0</v>
      </c>
      <c r="F18" s="122"/>
      <c r="G18" s="122"/>
    </row>
    <row r="19" spans="1:7" ht="24.75" thickBot="1">
      <c r="A19" s="131" t="s">
        <v>36</v>
      </c>
      <c r="B19" s="132">
        <f>SUM(B8:B18)</f>
        <v>1358420</v>
      </c>
      <c r="C19" s="132">
        <f>SUM(C11:C18)</f>
        <v>259000</v>
      </c>
      <c r="D19" s="132">
        <f>SUM(D8:D18)</f>
        <v>1617420</v>
      </c>
      <c r="E19" s="132">
        <f>SUM(E8:E18)</f>
        <v>1332968.1200000001</v>
      </c>
      <c r="F19" s="132">
        <f>SUM(F10:F18)</f>
        <v>1037300.12</v>
      </c>
      <c r="G19" s="132">
        <f>SUM(G10:G18)</f>
        <v>295668</v>
      </c>
    </row>
    <row r="20" spans="1:7" ht="24.75" thickTop="1">
      <c r="C20" s="135"/>
    </row>
    <row r="21" spans="1:7">
      <c r="B21" s="112"/>
      <c r="C21" s="112"/>
      <c r="D21" s="112"/>
    </row>
    <row r="22" spans="1:7">
      <c r="B22" s="112"/>
      <c r="F22" s="3"/>
    </row>
    <row r="23" spans="1:7">
      <c r="B23" s="112"/>
      <c r="C23" s="133"/>
      <c r="D23" s="133"/>
    </row>
    <row r="24" spans="1:7">
      <c r="B24" s="112"/>
    </row>
    <row r="25" spans="1:7">
      <c r="B25" s="112"/>
    </row>
    <row r="26" spans="1:7">
      <c r="B26" s="112"/>
    </row>
    <row r="28" spans="1:7">
      <c r="B28" s="112"/>
    </row>
  </sheetData>
  <mergeCells count="4">
    <mergeCell ref="A1:G1"/>
    <mergeCell ref="A2:G2"/>
    <mergeCell ref="A3:G3"/>
    <mergeCell ref="A4:G4"/>
  </mergeCells>
  <phoneticPr fontId="52" type="noConversion"/>
  <printOptions horizontalCentered="1"/>
  <pageMargins left="0.53" right="0.33" top="0.42" bottom="0.19685039370078741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14" sqref="E13:E14"/>
    </sheetView>
  </sheetViews>
  <sheetFormatPr defaultRowHeight="24"/>
  <cols>
    <col min="1" max="1" width="42.28515625" style="114" customWidth="1"/>
    <col min="2" max="3" width="16" style="114" hidden="1" customWidth="1"/>
    <col min="4" max="6" width="31.7109375" style="114" customWidth="1"/>
    <col min="7" max="7" width="1.42578125" style="112" customWidth="1"/>
    <col min="8" max="16384" width="9.140625" style="114"/>
  </cols>
  <sheetData>
    <row r="1" spans="1:7" ht="27.75">
      <c r="A1" s="339" t="s">
        <v>0</v>
      </c>
      <c r="B1" s="339"/>
      <c r="C1" s="339"/>
      <c r="D1" s="339"/>
      <c r="E1" s="339"/>
      <c r="F1" s="339"/>
    </row>
    <row r="2" spans="1:7" ht="27.75">
      <c r="A2" s="339" t="s">
        <v>70</v>
      </c>
      <c r="B2" s="339"/>
      <c r="C2" s="339"/>
      <c r="D2" s="339"/>
      <c r="E2" s="339"/>
      <c r="F2" s="339"/>
    </row>
    <row r="3" spans="1:7" ht="27.75">
      <c r="A3" s="339" t="s">
        <v>156</v>
      </c>
      <c r="B3" s="339"/>
      <c r="C3" s="339"/>
      <c r="D3" s="339"/>
      <c r="E3" s="339"/>
      <c r="F3" s="339"/>
    </row>
    <row r="4" spans="1:7" ht="27.75">
      <c r="A4" s="340" t="s">
        <v>285</v>
      </c>
      <c r="B4" s="340"/>
      <c r="C4" s="340"/>
      <c r="D4" s="340"/>
      <c r="E4" s="340"/>
      <c r="F4" s="340"/>
    </row>
    <row r="5" spans="1:7" ht="27.75">
      <c r="A5" s="115"/>
      <c r="B5" s="115"/>
      <c r="C5" s="115"/>
      <c r="D5" s="115"/>
      <c r="E5" s="115"/>
      <c r="F5" s="115"/>
    </row>
    <row r="6" spans="1:7" s="119" customFormat="1" ht="48">
      <c r="A6" s="116" t="s">
        <v>76</v>
      </c>
      <c r="B6" s="116" t="s">
        <v>77</v>
      </c>
      <c r="C6" s="116" t="s">
        <v>78</v>
      </c>
      <c r="D6" s="116" t="s">
        <v>77</v>
      </c>
      <c r="E6" s="116" t="s">
        <v>36</v>
      </c>
      <c r="F6" s="116" t="s">
        <v>157</v>
      </c>
      <c r="G6" s="117"/>
    </row>
    <row r="7" spans="1:7">
      <c r="A7" s="120" t="s">
        <v>81</v>
      </c>
      <c r="B7" s="121"/>
      <c r="C7" s="121"/>
      <c r="D7" s="121"/>
      <c r="E7" s="121"/>
      <c r="F7" s="121"/>
    </row>
    <row r="8" spans="1:7">
      <c r="A8" s="121" t="s">
        <v>82</v>
      </c>
      <c r="B8" s="122"/>
      <c r="C8" s="122"/>
      <c r="D8" s="122"/>
      <c r="E8" s="122">
        <f t="shared" ref="E8:E18" si="0">SUM(F8:F8)</f>
        <v>0</v>
      </c>
      <c r="F8" s="122"/>
    </row>
    <row r="9" spans="1:7">
      <c r="A9" s="121" t="s">
        <v>83</v>
      </c>
      <c r="B9" s="122"/>
      <c r="C9" s="122"/>
      <c r="D9" s="122"/>
      <c r="E9" s="122">
        <f t="shared" si="0"/>
        <v>0</v>
      </c>
      <c r="F9" s="122"/>
    </row>
    <row r="10" spans="1:7">
      <c r="A10" s="121" t="s">
        <v>84</v>
      </c>
      <c r="B10" s="122">
        <v>446160</v>
      </c>
      <c r="C10" s="123">
        <v>75720</v>
      </c>
      <c r="D10" s="122">
        <f t="shared" ref="D10:D18" si="1">B10+C10</f>
        <v>521880</v>
      </c>
      <c r="E10" s="122">
        <f t="shared" si="0"/>
        <v>486720</v>
      </c>
      <c r="F10" s="122">
        <v>486720</v>
      </c>
    </row>
    <row r="11" spans="1:7">
      <c r="A11" s="121" t="s">
        <v>85</v>
      </c>
      <c r="B11" s="122">
        <v>434400</v>
      </c>
      <c r="C11" s="123"/>
      <c r="D11" s="122">
        <f t="shared" si="1"/>
        <v>434400</v>
      </c>
      <c r="E11" s="122">
        <f t="shared" si="0"/>
        <v>340052</v>
      </c>
      <c r="F11" s="122">
        <f>34052+306000</f>
        <v>340052</v>
      </c>
    </row>
    <row r="12" spans="1:7">
      <c r="A12" s="121" t="s">
        <v>86</v>
      </c>
      <c r="B12" s="122">
        <v>1164760</v>
      </c>
      <c r="C12" s="123">
        <f>31700-73700</f>
        <v>-42000</v>
      </c>
      <c r="D12" s="122">
        <f t="shared" si="1"/>
        <v>1122760</v>
      </c>
      <c r="E12" s="122">
        <f t="shared" si="0"/>
        <v>1021221</v>
      </c>
      <c r="F12" s="122">
        <v>1021221</v>
      </c>
    </row>
    <row r="13" spans="1:7">
      <c r="A13" s="121" t="s">
        <v>87</v>
      </c>
      <c r="B13" s="122">
        <v>1520100</v>
      </c>
      <c r="C13" s="123"/>
      <c r="D13" s="122">
        <f t="shared" si="1"/>
        <v>1520100</v>
      </c>
      <c r="E13" s="122">
        <f t="shared" si="0"/>
        <v>1278996.81</v>
      </c>
      <c r="F13" s="122">
        <f>1145183.31+133812.9+0.6</f>
        <v>1278996.81</v>
      </c>
    </row>
    <row r="14" spans="1:7">
      <c r="A14" s="121" t="s">
        <v>88</v>
      </c>
      <c r="B14" s="122">
        <v>51900</v>
      </c>
      <c r="C14" s="123">
        <v>7500</v>
      </c>
      <c r="D14" s="122">
        <f t="shared" si="1"/>
        <v>59400</v>
      </c>
      <c r="E14" s="122">
        <f t="shared" si="0"/>
        <v>33127.440000000002</v>
      </c>
      <c r="F14" s="122">
        <v>33127.440000000002</v>
      </c>
    </row>
    <row r="15" spans="1:7">
      <c r="A15" s="121" t="s">
        <v>89</v>
      </c>
      <c r="B15" s="122">
        <v>89750</v>
      </c>
      <c r="C15" s="123"/>
      <c r="D15" s="122">
        <f t="shared" si="1"/>
        <v>89750</v>
      </c>
      <c r="E15" s="122">
        <f t="shared" si="0"/>
        <v>87520</v>
      </c>
      <c r="F15" s="122">
        <v>87520</v>
      </c>
    </row>
    <row r="16" spans="1:7">
      <c r="A16" s="121" t="s">
        <v>90</v>
      </c>
      <c r="B16" s="122"/>
      <c r="C16" s="123"/>
      <c r="D16" s="122">
        <f t="shared" si="1"/>
        <v>0</v>
      </c>
      <c r="E16" s="122">
        <f t="shared" si="0"/>
        <v>0</v>
      </c>
      <c r="F16" s="122"/>
    </row>
    <row r="17" spans="1:6">
      <c r="A17" s="121" t="s">
        <v>91</v>
      </c>
      <c r="B17" s="122">
        <v>1437800</v>
      </c>
      <c r="C17" s="122"/>
      <c r="D17" s="122">
        <f t="shared" si="1"/>
        <v>1437800</v>
      </c>
      <c r="E17" s="122">
        <f t="shared" si="0"/>
        <v>1437800</v>
      </c>
      <c r="F17" s="122">
        <v>1437800</v>
      </c>
    </row>
    <row r="18" spans="1:6">
      <c r="A18" s="129" t="s">
        <v>92</v>
      </c>
      <c r="B18" s="130"/>
      <c r="C18" s="130"/>
      <c r="D18" s="122">
        <f t="shared" si="1"/>
        <v>0</v>
      </c>
      <c r="E18" s="122">
        <f t="shared" si="0"/>
        <v>0</v>
      </c>
      <c r="F18" s="122"/>
    </row>
    <row r="19" spans="1:6" ht="24.75" thickBot="1">
      <c r="A19" s="131" t="s">
        <v>36</v>
      </c>
      <c r="B19" s="132">
        <f>SUM(B8:B18)</f>
        <v>5144870</v>
      </c>
      <c r="C19" s="132">
        <f>SUM(C8:C18)</f>
        <v>41220</v>
      </c>
      <c r="D19" s="132">
        <f>SUM(D8:D18)</f>
        <v>5186090</v>
      </c>
      <c r="E19" s="132">
        <f>SUM(E8:E18)</f>
        <v>4685437.25</v>
      </c>
      <c r="F19" s="132">
        <f>SUM(F10:F18)</f>
        <v>4685437.25</v>
      </c>
    </row>
    <row r="20" spans="1:6" ht="24.75" thickTop="1"/>
    <row r="21" spans="1:6">
      <c r="B21" s="112"/>
      <c r="C21" s="112"/>
      <c r="D21" s="112"/>
    </row>
    <row r="22" spans="1:6">
      <c r="B22" s="112"/>
    </row>
    <row r="23" spans="1:6">
      <c r="B23" s="112"/>
      <c r="C23" s="133"/>
      <c r="D23" s="133"/>
    </row>
    <row r="24" spans="1:6">
      <c r="B24" s="112"/>
    </row>
    <row r="25" spans="1:6">
      <c r="B25" s="112"/>
    </row>
    <row r="26" spans="1:6">
      <c r="B26" s="112"/>
    </row>
    <row r="28" spans="1:6">
      <c r="B28" s="112"/>
    </row>
  </sheetData>
  <mergeCells count="4">
    <mergeCell ref="A1:F1"/>
    <mergeCell ref="A2:F2"/>
    <mergeCell ref="A3:F3"/>
    <mergeCell ref="A4:F4"/>
  </mergeCells>
  <phoneticPr fontId="52" type="noConversion"/>
  <printOptions horizontalCentered="1"/>
  <pageMargins left="0.38" right="0.35" top="0.39370078740157483" bottom="0.19685039370078741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E14" sqref="E13:E14"/>
    </sheetView>
  </sheetViews>
  <sheetFormatPr defaultRowHeight="24"/>
  <cols>
    <col min="1" max="1" width="41.7109375" style="114" customWidth="1"/>
    <col min="2" max="3" width="16" style="114" hidden="1" customWidth="1"/>
    <col min="4" max="6" width="31.28515625" style="114" customWidth="1"/>
    <col min="7" max="7" width="4.5703125" style="114" customWidth="1"/>
    <col min="8" max="8" width="12" style="113" customWidth="1"/>
    <col min="9" max="9" width="11.5703125" style="113" customWidth="1"/>
    <col min="10" max="16384" width="9.140625" style="114"/>
  </cols>
  <sheetData>
    <row r="1" spans="1:9" ht="27.75">
      <c r="A1" s="339" t="s">
        <v>0</v>
      </c>
      <c r="B1" s="339"/>
      <c r="C1" s="339"/>
      <c r="D1" s="339"/>
      <c r="E1" s="339"/>
      <c r="F1" s="339"/>
    </row>
    <row r="2" spans="1:9" ht="27.75">
      <c r="A2" s="339" t="s">
        <v>70</v>
      </c>
      <c r="B2" s="339"/>
      <c r="C2" s="339"/>
      <c r="D2" s="339"/>
      <c r="E2" s="339"/>
      <c r="F2" s="339"/>
    </row>
    <row r="3" spans="1:9" ht="27.75">
      <c r="A3" s="339" t="s">
        <v>158</v>
      </c>
      <c r="B3" s="339"/>
      <c r="C3" s="339"/>
      <c r="D3" s="339"/>
      <c r="E3" s="339"/>
      <c r="F3" s="339"/>
    </row>
    <row r="4" spans="1:9" ht="27.75">
      <c r="A4" s="340" t="s">
        <v>285</v>
      </c>
      <c r="B4" s="340"/>
      <c r="C4" s="340"/>
      <c r="D4" s="340"/>
      <c r="E4" s="340"/>
      <c r="F4" s="340"/>
    </row>
    <row r="5" spans="1:9" ht="27.75">
      <c r="A5" s="115"/>
      <c r="B5" s="115"/>
      <c r="C5" s="115"/>
      <c r="D5" s="115"/>
      <c r="E5" s="115"/>
      <c r="F5" s="115"/>
    </row>
    <row r="6" spans="1:9" s="119" customFormat="1" ht="48">
      <c r="A6" s="116" t="s">
        <v>76</v>
      </c>
      <c r="B6" s="116" t="s">
        <v>77</v>
      </c>
      <c r="C6" s="116" t="s">
        <v>78</v>
      </c>
      <c r="D6" s="116" t="s">
        <v>77</v>
      </c>
      <c r="E6" s="116" t="s">
        <v>36</v>
      </c>
      <c r="F6" s="116" t="s">
        <v>159</v>
      </c>
      <c r="H6" s="118"/>
      <c r="I6" s="118"/>
    </row>
    <row r="7" spans="1:9">
      <c r="A7" s="120" t="s">
        <v>81</v>
      </c>
      <c r="B7" s="121"/>
      <c r="C7" s="121"/>
      <c r="D7" s="121"/>
      <c r="E7" s="121"/>
      <c r="F7" s="121"/>
    </row>
    <row r="8" spans="1:9">
      <c r="A8" s="121" t="s">
        <v>82</v>
      </c>
      <c r="B8" s="122"/>
      <c r="C8" s="122"/>
      <c r="D8" s="122"/>
      <c r="E8" s="122">
        <f t="shared" ref="E8:E18" si="0">SUM(F8:F8)</f>
        <v>0</v>
      </c>
      <c r="F8" s="122"/>
    </row>
    <row r="9" spans="1:9">
      <c r="A9" s="121" t="s">
        <v>83</v>
      </c>
      <c r="B9" s="122"/>
      <c r="C9" s="122"/>
      <c r="D9" s="122">
        <f t="shared" ref="D9:D18" si="1">B9+C9</f>
        <v>0</v>
      </c>
      <c r="E9" s="122">
        <f t="shared" si="0"/>
        <v>0</v>
      </c>
      <c r="F9" s="122"/>
    </row>
    <row r="10" spans="1:9">
      <c r="A10" s="121" t="s">
        <v>84</v>
      </c>
      <c r="B10" s="122">
        <v>228480</v>
      </c>
      <c r="C10" s="123"/>
      <c r="D10" s="122">
        <f t="shared" si="1"/>
        <v>228480</v>
      </c>
      <c r="E10" s="122">
        <f t="shared" si="0"/>
        <v>72000</v>
      </c>
      <c r="F10" s="122">
        <v>72000</v>
      </c>
    </row>
    <row r="11" spans="1:9">
      <c r="A11" s="121" t="s">
        <v>85</v>
      </c>
      <c r="B11" s="122">
        <v>43000</v>
      </c>
      <c r="C11" s="123"/>
      <c r="D11" s="122">
        <f t="shared" si="1"/>
        <v>43000</v>
      </c>
      <c r="E11" s="122">
        <f t="shared" si="0"/>
        <v>43000</v>
      </c>
      <c r="F11" s="122">
        <v>43000</v>
      </c>
    </row>
    <row r="12" spans="1:9">
      <c r="A12" s="121" t="s">
        <v>86</v>
      </c>
      <c r="B12" s="122">
        <v>130000</v>
      </c>
      <c r="C12" s="123"/>
      <c r="D12" s="122">
        <f t="shared" si="1"/>
        <v>130000</v>
      </c>
      <c r="E12" s="122">
        <f t="shared" si="0"/>
        <v>100502.2</v>
      </c>
      <c r="F12" s="122">
        <v>100502.2</v>
      </c>
    </row>
    <row r="13" spans="1:9">
      <c r="A13" s="121" t="s">
        <v>87</v>
      </c>
      <c r="B13" s="122"/>
      <c r="C13" s="123"/>
      <c r="D13" s="122">
        <f t="shared" si="1"/>
        <v>0</v>
      </c>
      <c r="E13" s="122">
        <f t="shared" si="0"/>
        <v>0</v>
      </c>
      <c r="F13" s="122"/>
    </row>
    <row r="14" spans="1:9">
      <c r="A14" s="121" t="s">
        <v>88</v>
      </c>
      <c r="B14" s="122"/>
      <c r="C14" s="123"/>
      <c r="D14" s="122">
        <f t="shared" si="1"/>
        <v>0</v>
      </c>
      <c r="E14" s="122">
        <f t="shared" si="0"/>
        <v>0</v>
      </c>
      <c r="F14" s="122"/>
    </row>
    <row r="15" spans="1:9">
      <c r="A15" s="121" t="s">
        <v>89</v>
      </c>
      <c r="B15" s="122"/>
      <c r="C15" s="123"/>
      <c r="D15" s="122">
        <f t="shared" si="1"/>
        <v>0</v>
      </c>
      <c r="E15" s="122">
        <f t="shared" si="0"/>
        <v>0</v>
      </c>
      <c r="F15" s="122"/>
    </row>
    <row r="16" spans="1:9">
      <c r="A16" s="121" t="s">
        <v>90</v>
      </c>
      <c r="B16" s="122"/>
      <c r="C16" s="123"/>
      <c r="D16" s="122">
        <f t="shared" si="1"/>
        <v>0</v>
      </c>
      <c r="E16" s="122">
        <f t="shared" si="0"/>
        <v>0</v>
      </c>
      <c r="F16" s="122"/>
    </row>
    <row r="17" spans="1:6">
      <c r="A17" s="121" t="s">
        <v>91</v>
      </c>
      <c r="B17" s="122">
        <v>320000</v>
      </c>
      <c r="C17" s="122"/>
      <c r="D17" s="122">
        <f t="shared" si="1"/>
        <v>320000</v>
      </c>
      <c r="E17" s="122">
        <f t="shared" si="0"/>
        <v>303220</v>
      </c>
      <c r="F17" s="122">
        <v>303220</v>
      </c>
    </row>
    <row r="18" spans="1:6">
      <c r="A18" s="129" t="s">
        <v>92</v>
      </c>
      <c r="B18" s="130"/>
      <c r="C18" s="130"/>
      <c r="D18" s="122">
        <f t="shared" si="1"/>
        <v>0</v>
      </c>
      <c r="E18" s="122">
        <f t="shared" si="0"/>
        <v>0</v>
      </c>
      <c r="F18" s="122"/>
    </row>
    <row r="19" spans="1:6" ht="24.75" thickBot="1">
      <c r="A19" s="131" t="s">
        <v>36</v>
      </c>
      <c r="B19" s="132">
        <f>SUM(B8:B18)</f>
        <v>721480</v>
      </c>
      <c r="C19" s="132">
        <f>SUM(C8:C18)</f>
        <v>0</v>
      </c>
      <c r="D19" s="132">
        <f>SUM(D8:D18)</f>
        <v>721480</v>
      </c>
      <c r="E19" s="132">
        <f>SUM(E8:E18)</f>
        <v>518722.2</v>
      </c>
      <c r="F19" s="132">
        <f>SUM(F8:F18)</f>
        <v>518722.2</v>
      </c>
    </row>
    <row r="20" spans="1:6" ht="24.75" thickTop="1"/>
    <row r="21" spans="1:6">
      <c r="B21" s="112"/>
      <c r="C21" s="112"/>
      <c r="D21" s="112"/>
    </row>
    <row r="22" spans="1:6">
      <c r="B22" s="112"/>
    </row>
    <row r="23" spans="1:6">
      <c r="B23" s="112"/>
      <c r="C23" s="133"/>
      <c r="D23" s="133"/>
    </row>
    <row r="24" spans="1:6">
      <c r="B24" s="112"/>
    </row>
    <row r="25" spans="1:6">
      <c r="B25" s="112"/>
    </row>
    <row r="26" spans="1:6">
      <c r="B26" s="112"/>
    </row>
    <row r="28" spans="1:6">
      <c r="B28" s="112"/>
    </row>
  </sheetData>
  <mergeCells count="4">
    <mergeCell ref="A1:F1"/>
    <mergeCell ref="A2:F2"/>
    <mergeCell ref="A3:F3"/>
    <mergeCell ref="A4:F4"/>
  </mergeCells>
  <phoneticPr fontId="52" type="noConversion"/>
  <printOptions horizontalCentered="1"/>
  <pageMargins left="0.55118110236220474" right="0.41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4" zoomScale="130" workbookViewId="0">
      <selection activeCell="H9" sqref="H9"/>
    </sheetView>
  </sheetViews>
  <sheetFormatPr defaultRowHeight="24"/>
  <cols>
    <col min="1" max="1" width="38.5703125" style="1" customWidth="1"/>
    <col min="2" max="2" width="15" style="1" customWidth="1"/>
    <col min="3" max="3" width="9.42578125" style="1" customWidth="1"/>
    <col min="4" max="4" width="15.7109375" style="1" customWidth="1"/>
    <col min="5" max="5" width="15.140625" style="1" customWidth="1"/>
    <col min="6" max="6" width="15.28515625" style="1" bestFit="1" customWidth="1"/>
    <col min="7" max="7" width="19.42578125" style="1" bestFit="1" customWidth="1"/>
    <col min="8" max="9" width="12.85546875" style="1" customWidth="1"/>
    <col min="10" max="10" width="18.140625" style="185" customWidth="1"/>
    <col min="11" max="11" width="15.28515625" style="185" bestFit="1" customWidth="1"/>
    <col min="12" max="12" width="7.140625" style="185" customWidth="1"/>
    <col min="13" max="13" width="14.140625" style="1" bestFit="1" customWidth="1"/>
    <col min="14" max="14" width="12.7109375" style="1" bestFit="1" customWidth="1"/>
    <col min="15" max="15" width="10.28515625" style="1" bestFit="1" customWidth="1"/>
    <col min="16" max="16384" width="9.140625" style="1"/>
  </cols>
  <sheetData>
    <row r="1" spans="1:14">
      <c r="A1" s="296" t="s">
        <v>183</v>
      </c>
      <c r="B1" s="296"/>
      <c r="C1" s="296"/>
      <c r="D1" s="296"/>
      <c r="E1" s="296"/>
    </row>
    <row r="2" spans="1:14">
      <c r="A2" s="296" t="s">
        <v>331</v>
      </c>
      <c r="B2" s="296"/>
      <c r="C2" s="296"/>
      <c r="D2" s="296"/>
      <c r="E2" s="296"/>
    </row>
    <row r="3" spans="1:14" ht="24.75" thickBot="1">
      <c r="A3" s="297" t="s">
        <v>204</v>
      </c>
      <c r="B3" s="297"/>
      <c r="C3" s="297"/>
      <c r="D3" s="297"/>
      <c r="E3" s="297"/>
    </row>
    <row r="4" spans="1:14" ht="25.5" thickTop="1" thickBot="1">
      <c r="A4" s="186" t="s">
        <v>76</v>
      </c>
      <c r="B4" s="150"/>
      <c r="C4" s="150" t="s">
        <v>184</v>
      </c>
      <c r="D4" s="150" t="s">
        <v>185</v>
      </c>
      <c r="E4" s="150" t="s">
        <v>186</v>
      </c>
    </row>
    <row r="5" spans="1:14" ht="24.75" thickTop="1">
      <c r="A5" s="30" t="s">
        <v>205</v>
      </c>
      <c r="B5" s="143"/>
      <c r="C5" s="141">
        <v>110100</v>
      </c>
      <c r="D5" s="142"/>
      <c r="E5" s="142"/>
    </row>
    <row r="6" spans="1:14">
      <c r="A6" s="6" t="s">
        <v>206</v>
      </c>
      <c r="B6" s="143"/>
      <c r="C6" s="141">
        <v>110201</v>
      </c>
      <c r="D6" s="142">
        <v>22039462.02</v>
      </c>
      <c r="E6" s="142"/>
      <c r="M6" s="144"/>
      <c r="N6" s="144"/>
    </row>
    <row r="7" spans="1:14">
      <c r="A7" s="6" t="s">
        <v>207</v>
      </c>
      <c r="B7" s="143"/>
      <c r="C7" s="141">
        <v>110201</v>
      </c>
      <c r="D7" s="142">
        <v>42898.52</v>
      </c>
      <c r="E7" s="142"/>
      <c r="M7" s="144"/>
      <c r="N7" s="144"/>
    </row>
    <row r="8" spans="1:14" hidden="1">
      <c r="A8" s="6" t="s">
        <v>208</v>
      </c>
      <c r="B8" s="143"/>
      <c r="C8" s="141" t="s">
        <v>209</v>
      </c>
      <c r="D8" s="142">
        <v>0</v>
      </c>
      <c r="E8" s="142"/>
      <c r="M8" s="144"/>
      <c r="N8" s="144"/>
    </row>
    <row r="9" spans="1:14">
      <c r="A9" s="6" t="s">
        <v>210</v>
      </c>
      <c r="B9" s="143"/>
      <c r="C9" s="141">
        <v>110202</v>
      </c>
      <c r="D9" s="142">
        <v>5430682.6900000004</v>
      </c>
      <c r="E9" s="142"/>
      <c r="M9" s="144"/>
      <c r="N9" s="144"/>
    </row>
    <row r="10" spans="1:14">
      <c r="A10" s="6" t="s">
        <v>211</v>
      </c>
      <c r="B10" s="143"/>
      <c r="C10" s="141">
        <v>110201</v>
      </c>
      <c r="D10" s="142">
        <v>17554.46</v>
      </c>
      <c r="E10" s="142"/>
      <c r="M10" s="144"/>
      <c r="N10" s="144"/>
    </row>
    <row r="11" spans="1:14">
      <c r="A11" s="6" t="s">
        <v>212</v>
      </c>
      <c r="B11" s="143"/>
      <c r="C11" s="141">
        <v>110201</v>
      </c>
      <c r="D11" s="142">
        <v>40425.31</v>
      </c>
      <c r="E11" s="142"/>
      <c r="M11" s="144"/>
      <c r="N11" s="144"/>
    </row>
    <row r="12" spans="1:14">
      <c r="A12" s="6" t="s">
        <v>213</v>
      </c>
      <c r="B12" s="143"/>
      <c r="C12" s="141">
        <v>110201</v>
      </c>
      <c r="D12" s="142">
        <v>15487.12</v>
      </c>
      <c r="E12" s="142"/>
      <c r="M12" s="144"/>
      <c r="N12" s="144"/>
    </row>
    <row r="13" spans="1:14">
      <c r="A13" s="6" t="s">
        <v>214</v>
      </c>
      <c r="B13" s="143"/>
      <c r="C13" s="141">
        <v>110202</v>
      </c>
      <c r="D13" s="142">
        <v>4630234.97</v>
      </c>
      <c r="E13" s="142"/>
      <c r="F13" s="144"/>
      <c r="G13" s="144"/>
      <c r="H13" s="144"/>
      <c r="I13" s="144"/>
      <c r="M13" s="144"/>
      <c r="N13" s="144"/>
    </row>
    <row r="14" spans="1:14">
      <c r="A14" s="6" t="s">
        <v>215</v>
      </c>
      <c r="B14" s="143"/>
      <c r="C14" s="141">
        <v>110201</v>
      </c>
      <c r="D14" s="142">
        <v>6283897.4000000004</v>
      </c>
      <c r="E14" s="142"/>
      <c r="F14" s="144"/>
      <c r="G14" s="185"/>
      <c r="H14" s="185"/>
      <c r="I14" s="187"/>
      <c r="J14" s="188"/>
      <c r="M14" s="144"/>
      <c r="N14" s="144"/>
    </row>
    <row r="15" spans="1:14" hidden="1">
      <c r="A15" s="6" t="s">
        <v>188</v>
      </c>
      <c r="B15" s="143"/>
      <c r="C15" s="141">
        <v>110605</v>
      </c>
      <c r="D15" s="189">
        <f>350522-42450+47864-331114+58-24880</f>
        <v>0</v>
      </c>
      <c r="E15" s="142"/>
      <c r="G15" s="188"/>
      <c r="H15" s="190"/>
      <c r="I15" s="190"/>
      <c r="J15" s="188"/>
      <c r="L15" s="191"/>
      <c r="M15" s="144"/>
      <c r="N15" s="144"/>
    </row>
    <row r="16" spans="1:14" hidden="1">
      <c r="A16" s="6" t="s">
        <v>187</v>
      </c>
      <c r="B16" s="143"/>
      <c r="C16" s="141">
        <v>110606</v>
      </c>
      <c r="D16" s="189">
        <f>108600-106800-1350-450</f>
        <v>0</v>
      </c>
      <c r="E16" s="142"/>
      <c r="F16" s="185"/>
      <c r="G16" s="185"/>
      <c r="H16" s="185"/>
      <c r="I16" s="185"/>
      <c r="L16" s="191"/>
      <c r="M16" s="144"/>
      <c r="N16" s="144"/>
    </row>
    <row r="17" spans="1:14">
      <c r="A17" s="6" t="s">
        <v>221</v>
      </c>
      <c r="B17" s="143"/>
      <c r="C17" s="16">
        <v>110601</v>
      </c>
      <c r="D17" s="142">
        <f>108268+344608</f>
        <v>452876</v>
      </c>
      <c r="E17" s="142"/>
      <c r="G17" s="185"/>
      <c r="H17" s="185"/>
      <c r="I17" s="185"/>
      <c r="L17" s="191"/>
      <c r="M17" s="144"/>
      <c r="N17" s="144"/>
    </row>
    <row r="18" spans="1:14">
      <c r="A18" s="6" t="s">
        <v>222</v>
      </c>
      <c r="B18" s="143"/>
      <c r="C18" s="16">
        <v>110602</v>
      </c>
      <c r="D18" s="142">
        <f>42002.05+1573.9</f>
        <v>43575.950000000004</v>
      </c>
      <c r="E18" s="142"/>
      <c r="G18" s="185"/>
      <c r="H18" s="185"/>
      <c r="I18" s="185"/>
      <c r="L18" s="191"/>
      <c r="M18" s="144"/>
      <c r="N18" s="144"/>
    </row>
    <row r="19" spans="1:14">
      <c r="A19" s="6" t="s">
        <v>223</v>
      </c>
      <c r="B19" s="143"/>
      <c r="C19" s="16">
        <v>120200</v>
      </c>
      <c r="D19" s="142">
        <f>620913.84+15131.05</f>
        <v>636044.89</v>
      </c>
      <c r="E19" s="142"/>
      <c r="G19" s="185"/>
      <c r="H19" s="185"/>
      <c r="I19" s="185"/>
      <c r="L19" s="191"/>
      <c r="M19" s="144"/>
      <c r="N19" s="144"/>
    </row>
    <row r="20" spans="1:14">
      <c r="A20" s="202" t="s">
        <v>461</v>
      </c>
      <c r="B20" s="203"/>
      <c r="C20" s="16">
        <v>210400</v>
      </c>
      <c r="D20" s="142"/>
      <c r="E20" s="142">
        <v>3065612.9</v>
      </c>
      <c r="J20" s="199"/>
    </row>
    <row r="21" spans="1:14" s="185" customFormat="1">
      <c r="A21" s="6" t="s">
        <v>332</v>
      </c>
      <c r="B21" s="143"/>
      <c r="C21" s="141">
        <v>300000</v>
      </c>
      <c r="D21" s="142"/>
      <c r="E21" s="142">
        <f>15418612.16+10439504.39-2609876.1</f>
        <v>23248240.449999999</v>
      </c>
      <c r="F21" s="1"/>
      <c r="G21" s="1"/>
      <c r="H21" s="1"/>
      <c r="I21" s="1"/>
      <c r="J21" s="199"/>
      <c r="M21" s="1"/>
      <c r="N21" s="1"/>
    </row>
    <row r="22" spans="1:14" s="185" customFormat="1">
      <c r="A22" s="6" t="s">
        <v>333</v>
      </c>
      <c r="B22" s="143"/>
      <c r="C22" s="141">
        <v>320000</v>
      </c>
      <c r="D22" s="142"/>
      <c r="E22" s="142">
        <f>9256055.67+2609876.1</f>
        <v>11865931.77</v>
      </c>
      <c r="F22" s="1"/>
      <c r="G22" s="1"/>
      <c r="H22" s="1"/>
      <c r="I22" s="1"/>
      <c r="K22" s="194"/>
      <c r="M22" s="1"/>
      <c r="N22" s="1"/>
    </row>
    <row r="23" spans="1:14" s="185" customFormat="1">
      <c r="A23" s="6" t="s">
        <v>334</v>
      </c>
      <c r="B23" s="143"/>
      <c r="C23" s="141">
        <v>230100</v>
      </c>
      <c r="D23" s="142"/>
      <c r="E23" s="142">
        <v>1308455.69</v>
      </c>
      <c r="F23" s="1" t="s">
        <v>17</v>
      </c>
      <c r="G23" s="1"/>
      <c r="H23" s="1"/>
      <c r="I23" s="1"/>
      <c r="M23" s="1"/>
      <c r="N23" s="1"/>
    </row>
    <row r="24" spans="1:14" s="185" customFormat="1">
      <c r="A24" s="6" t="s">
        <v>335</v>
      </c>
      <c r="B24" s="143"/>
      <c r="C24" s="141">
        <v>230199</v>
      </c>
      <c r="D24" s="142"/>
      <c r="E24" s="142">
        <v>42898.52</v>
      </c>
      <c r="F24" s="1"/>
      <c r="G24" s="1"/>
      <c r="H24" s="1"/>
      <c r="I24" s="1"/>
      <c r="M24" s="1"/>
      <c r="N24" s="1"/>
    </row>
    <row r="25" spans="1:14" s="185" customFormat="1">
      <c r="A25" s="6" t="s">
        <v>336</v>
      </c>
      <c r="B25" s="143"/>
      <c r="C25" s="141">
        <v>230199</v>
      </c>
      <c r="D25" s="142"/>
      <c r="E25" s="142">
        <v>102000</v>
      </c>
      <c r="F25" s="1"/>
      <c r="G25" s="1"/>
      <c r="H25" s="1"/>
      <c r="I25" s="1"/>
      <c r="M25" s="1"/>
      <c r="N25" s="1"/>
    </row>
    <row r="26" spans="1:14" s="185" customFormat="1">
      <c r="A26" s="6"/>
      <c r="B26" s="143"/>
      <c r="C26" s="141"/>
      <c r="D26" s="142"/>
      <c r="E26" s="142"/>
      <c r="F26" s="1"/>
      <c r="G26" s="1"/>
      <c r="H26" s="1"/>
      <c r="I26" s="1"/>
      <c r="M26" s="1"/>
      <c r="N26" s="1"/>
    </row>
    <row r="27" spans="1:14" s="185" customFormat="1">
      <c r="A27" s="6"/>
      <c r="B27" s="143"/>
      <c r="C27" s="141"/>
      <c r="D27" s="142"/>
      <c r="E27" s="142"/>
      <c r="F27" s="1"/>
      <c r="G27" s="1"/>
      <c r="H27" s="1"/>
      <c r="I27" s="1"/>
      <c r="M27" s="1"/>
      <c r="N27" s="1"/>
    </row>
    <row r="28" spans="1:14" s="185" customFormat="1">
      <c r="A28" s="6"/>
      <c r="B28" s="143"/>
      <c r="C28" s="16"/>
      <c r="D28" s="142"/>
      <c r="E28" s="142"/>
      <c r="F28" s="144"/>
      <c r="G28" s="144"/>
      <c r="H28" s="144"/>
      <c r="I28" s="144"/>
      <c r="J28" s="1"/>
      <c r="M28" s="1"/>
      <c r="N28" s="1"/>
    </row>
    <row r="29" spans="1:14" s="185" customFormat="1" ht="24.75" thickBot="1">
      <c r="A29" s="205"/>
      <c r="B29" s="154"/>
      <c r="C29" s="17"/>
      <c r="D29" s="155">
        <f>SUM(D6:D19)</f>
        <v>39633139.330000006</v>
      </c>
      <c r="E29" s="155">
        <f>SUM(E20:E25)</f>
        <v>39633139.329999998</v>
      </c>
      <c r="F29" s="144"/>
      <c r="G29" s="144">
        <f>D29-E29</f>
        <v>0</v>
      </c>
      <c r="H29" s="144"/>
      <c r="I29" s="144"/>
      <c r="J29" s="1"/>
      <c r="M29" s="1"/>
      <c r="N29" s="1"/>
    </row>
    <row r="30" spans="1:14" s="185" customFormat="1" ht="24.75" thickTop="1">
      <c r="A30" s="6"/>
      <c r="B30" s="6"/>
      <c r="C30" s="32"/>
      <c r="D30" s="149"/>
      <c r="E30" s="149"/>
      <c r="F30" s="144"/>
      <c r="G30" s="144"/>
      <c r="H30" s="144"/>
      <c r="I30" s="144"/>
      <c r="M30" s="1"/>
      <c r="N30" s="1"/>
    </row>
    <row r="31" spans="1:14" s="185" customFormat="1">
      <c r="A31" s="6"/>
      <c r="B31" s="6"/>
      <c r="C31" s="32"/>
      <c r="D31" s="149"/>
      <c r="E31" s="149"/>
      <c r="F31" s="144"/>
      <c r="G31" s="144"/>
      <c r="H31" s="144"/>
      <c r="I31" s="144"/>
      <c r="M31" s="1"/>
      <c r="N31" s="1"/>
    </row>
    <row r="32" spans="1:14">
      <c r="A32" s="298" t="s">
        <v>199</v>
      </c>
      <c r="B32" s="298"/>
      <c r="C32" s="298"/>
      <c r="D32" s="298"/>
      <c r="E32" s="298"/>
      <c r="F32" s="32"/>
      <c r="G32" s="32"/>
      <c r="H32" s="32"/>
      <c r="I32" s="32"/>
      <c r="J32" s="32"/>
    </row>
    <row r="33" spans="1:14">
      <c r="A33" s="298" t="s">
        <v>197</v>
      </c>
      <c r="B33" s="298"/>
      <c r="C33" s="298"/>
      <c r="D33" s="298"/>
      <c r="E33" s="298"/>
      <c r="F33" s="32"/>
      <c r="G33" s="32"/>
      <c r="H33" s="32"/>
      <c r="I33" s="32"/>
      <c r="J33" s="32"/>
    </row>
    <row r="34" spans="1:14">
      <c r="A34" s="298" t="s">
        <v>198</v>
      </c>
      <c r="B34" s="298"/>
      <c r="C34" s="298"/>
      <c r="D34" s="298"/>
      <c r="E34" s="298"/>
      <c r="F34" s="32"/>
      <c r="G34" s="32"/>
      <c r="H34" s="32"/>
      <c r="I34" s="32"/>
      <c r="J34" s="32"/>
    </row>
    <row r="35" spans="1:14" s="185" customFormat="1">
      <c r="A35" s="6"/>
      <c r="B35" s="6"/>
      <c r="C35" s="32"/>
      <c r="D35" s="149"/>
      <c r="E35" s="149"/>
      <c r="F35" s="1"/>
      <c r="G35" s="1"/>
      <c r="H35" s="1"/>
      <c r="I35" s="1"/>
      <c r="M35" s="1"/>
      <c r="N35" s="1"/>
    </row>
    <row r="36" spans="1:14" s="185" customFormat="1">
      <c r="A36" s="1" t="s">
        <v>258</v>
      </c>
      <c r="B36" s="1"/>
      <c r="C36" s="156"/>
      <c r="D36" s="295" t="s">
        <v>259</v>
      </c>
      <c r="E36" s="295"/>
      <c r="F36" s="1"/>
      <c r="G36" s="1"/>
      <c r="H36" s="1"/>
      <c r="I36" s="1"/>
      <c r="M36" s="1"/>
      <c r="N36" s="1"/>
    </row>
    <row r="39" spans="1:14" s="185" customFormat="1">
      <c r="A39" s="1" t="s">
        <v>260</v>
      </c>
      <c r="B39" s="1"/>
      <c r="C39" s="156"/>
      <c r="D39" s="295" t="s">
        <v>261</v>
      </c>
      <c r="E39" s="295"/>
      <c r="F39" s="1"/>
      <c r="G39" s="1"/>
      <c r="H39" s="1"/>
      <c r="I39" s="1"/>
      <c r="M39" s="1"/>
      <c r="N39" s="1"/>
    </row>
    <row r="40" spans="1:14" s="185" customFormat="1">
      <c r="A40" s="1" t="s">
        <v>262</v>
      </c>
      <c r="B40" s="1"/>
      <c r="C40" s="156"/>
      <c r="D40" s="295" t="s">
        <v>263</v>
      </c>
      <c r="E40" s="295"/>
      <c r="F40" s="1"/>
      <c r="G40" s="1"/>
      <c r="H40" s="1"/>
      <c r="I40" s="1"/>
      <c r="M40" s="1"/>
      <c r="N40" s="1"/>
    </row>
  </sheetData>
  <mergeCells count="9">
    <mergeCell ref="D36:E36"/>
    <mergeCell ref="D39:E39"/>
    <mergeCell ref="D40:E40"/>
    <mergeCell ref="A1:E1"/>
    <mergeCell ref="A2:E2"/>
    <mergeCell ref="A3:E3"/>
    <mergeCell ref="A32:E32"/>
    <mergeCell ref="A33:E33"/>
    <mergeCell ref="A34:E34"/>
  </mergeCells>
  <pageMargins left="0.72" right="0.18" top="0.56000000000000005" bottom="0.57999999999999996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E14" sqref="E13:E14"/>
    </sheetView>
  </sheetViews>
  <sheetFormatPr defaultRowHeight="24"/>
  <cols>
    <col min="1" max="1" width="43.7109375" style="114" customWidth="1"/>
    <col min="2" max="3" width="19.140625" style="114" hidden="1" customWidth="1"/>
    <col min="4" max="4" width="30.5703125" style="114" customWidth="1"/>
    <col min="5" max="5" width="31.140625" style="114" customWidth="1"/>
    <col min="6" max="6" width="30.28515625" style="114" customWidth="1"/>
    <col min="7" max="16384" width="9.140625" style="114"/>
  </cols>
  <sheetData>
    <row r="1" spans="1:6" ht="27.75">
      <c r="A1" s="339" t="s">
        <v>0</v>
      </c>
      <c r="B1" s="339"/>
      <c r="C1" s="339"/>
      <c r="D1" s="339"/>
      <c r="E1" s="339"/>
      <c r="F1" s="339"/>
    </row>
    <row r="2" spans="1:6" ht="27.75">
      <c r="A2" s="339" t="s">
        <v>70</v>
      </c>
      <c r="B2" s="339"/>
      <c r="C2" s="339"/>
      <c r="D2" s="339"/>
      <c r="E2" s="339"/>
      <c r="F2" s="339"/>
    </row>
    <row r="3" spans="1:6" ht="27.75">
      <c r="A3" s="339" t="s">
        <v>161</v>
      </c>
      <c r="B3" s="339"/>
      <c r="C3" s="339"/>
      <c r="D3" s="339"/>
      <c r="E3" s="339"/>
      <c r="F3" s="339"/>
    </row>
    <row r="4" spans="1:6" ht="27.75">
      <c r="A4" s="340" t="s">
        <v>285</v>
      </c>
      <c r="B4" s="340"/>
      <c r="C4" s="340"/>
      <c r="D4" s="340"/>
      <c r="E4" s="340"/>
      <c r="F4" s="340"/>
    </row>
    <row r="5" spans="1:6" ht="27.75">
      <c r="A5" s="115"/>
      <c r="B5" s="115"/>
      <c r="C5" s="115"/>
      <c r="D5" s="115"/>
      <c r="E5" s="115"/>
      <c r="F5" s="115"/>
    </row>
    <row r="6" spans="1:6" s="119" customFormat="1" ht="48">
      <c r="A6" s="116" t="s">
        <v>76</v>
      </c>
      <c r="B6" s="116" t="s">
        <v>77</v>
      </c>
      <c r="C6" s="116" t="s">
        <v>78</v>
      </c>
      <c r="D6" s="116" t="s">
        <v>77</v>
      </c>
      <c r="E6" s="116" t="s">
        <v>36</v>
      </c>
      <c r="F6" s="116" t="s">
        <v>162</v>
      </c>
    </row>
    <row r="7" spans="1:6">
      <c r="A7" s="120" t="s">
        <v>81</v>
      </c>
      <c r="B7" s="121"/>
      <c r="C7" s="121"/>
      <c r="D7" s="121"/>
      <c r="E7" s="121"/>
      <c r="F7" s="121"/>
    </row>
    <row r="8" spans="1:6">
      <c r="A8" s="121" t="s">
        <v>82</v>
      </c>
      <c r="B8" s="122"/>
      <c r="C8" s="122"/>
      <c r="D8" s="122"/>
      <c r="E8" s="122">
        <f t="shared" ref="E8:E18" si="0">SUM(F8:F8)</f>
        <v>0</v>
      </c>
      <c r="F8" s="122"/>
    </row>
    <row r="9" spans="1:6">
      <c r="A9" s="121" t="s">
        <v>83</v>
      </c>
      <c r="B9" s="122"/>
      <c r="C9" s="122"/>
      <c r="D9" s="122"/>
      <c r="E9" s="122">
        <f t="shared" si="0"/>
        <v>0</v>
      </c>
      <c r="F9" s="122"/>
    </row>
    <row r="10" spans="1:6">
      <c r="A10" s="121" t="s">
        <v>84</v>
      </c>
      <c r="B10" s="122"/>
      <c r="C10" s="123"/>
      <c r="D10" s="122"/>
      <c r="E10" s="122">
        <f t="shared" si="0"/>
        <v>0</v>
      </c>
      <c r="F10" s="122"/>
    </row>
    <row r="11" spans="1:6">
      <c r="A11" s="121" t="s">
        <v>85</v>
      </c>
      <c r="B11" s="122"/>
      <c r="C11" s="123"/>
      <c r="D11" s="122"/>
      <c r="E11" s="122">
        <f t="shared" si="0"/>
        <v>0</v>
      </c>
      <c r="F11" s="122"/>
    </row>
    <row r="12" spans="1:6">
      <c r="A12" s="121" t="s">
        <v>86</v>
      </c>
      <c r="B12" s="122">
        <v>240000</v>
      </c>
      <c r="C12" s="123"/>
      <c r="D12" s="122">
        <f t="shared" ref="D12:D18" si="1">B12+C12</f>
        <v>240000</v>
      </c>
      <c r="E12" s="122">
        <f t="shared" si="0"/>
        <v>0</v>
      </c>
      <c r="F12" s="122"/>
    </row>
    <row r="13" spans="1:6">
      <c r="A13" s="121" t="s">
        <v>87</v>
      </c>
      <c r="B13" s="122"/>
      <c r="C13" s="123"/>
      <c r="D13" s="122">
        <f t="shared" si="1"/>
        <v>0</v>
      </c>
      <c r="E13" s="122">
        <f t="shared" si="0"/>
        <v>0</v>
      </c>
      <c r="F13" s="122"/>
    </row>
    <row r="14" spans="1:6">
      <c r="A14" s="121" t="s">
        <v>88</v>
      </c>
      <c r="B14" s="122"/>
      <c r="C14" s="123"/>
      <c r="D14" s="122">
        <f t="shared" si="1"/>
        <v>0</v>
      </c>
      <c r="E14" s="122">
        <f t="shared" si="0"/>
        <v>0</v>
      </c>
      <c r="F14" s="122"/>
    </row>
    <row r="15" spans="1:6">
      <c r="A15" s="121" t="s">
        <v>89</v>
      </c>
      <c r="B15" s="122"/>
      <c r="C15" s="123"/>
      <c r="D15" s="122">
        <f t="shared" si="1"/>
        <v>0</v>
      </c>
      <c r="E15" s="122">
        <f t="shared" si="0"/>
        <v>0</v>
      </c>
      <c r="F15" s="122"/>
    </row>
    <row r="16" spans="1:6">
      <c r="A16" s="121" t="s">
        <v>90</v>
      </c>
      <c r="B16" s="122"/>
      <c r="C16" s="123"/>
      <c r="D16" s="122">
        <f t="shared" si="1"/>
        <v>0</v>
      </c>
      <c r="E16" s="122">
        <f t="shared" si="0"/>
        <v>0</v>
      </c>
      <c r="F16" s="122"/>
    </row>
    <row r="17" spans="1:6">
      <c r="A17" s="121" t="s">
        <v>91</v>
      </c>
      <c r="B17" s="122"/>
      <c r="C17" s="122"/>
      <c r="D17" s="122">
        <f t="shared" si="1"/>
        <v>0</v>
      </c>
      <c r="E17" s="122">
        <f t="shared" si="0"/>
        <v>0</v>
      </c>
      <c r="F17" s="122"/>
    </row>
    <row r="18" spans="1:6">
      <c r="A18" s="129" t="s">
        <v>92</v>
      </c>
      <c r="B18" s="130"/>
      <c r="C18" s="130"/>
      <c r="D18" s="122">
        <f t="shared" si="1"/>
        <v>0</v>
      </c>
      <c r="E18" s="122">
        <f t="shared" si="0"/>
        <v>0</v>
      </c>
      <c r="F18" s="122"/>
    </row>
    <row r="19" spans="1:6" ht="24.75" thickBot="1">
      <c r="A19" s="131" t="s">
        <v>36</v>
      </c>
      <c r="B19" s="132">
        <f>SUM(B8:B18)</f>
        <v>240000</v>
      </c>
      <c r="C19" s="132">
        <f>SUM(C8:C18)</f>
        <v>0</v>
      </c>
      <c r="D19" s="132">
        <f>SUM(D8:D18)</f>
        <v>240000</v>
      </c>
      <c r="E19" s="132">
        <f>SUM(E8:E18)</f>
        <v>0</v>
      </c>
      <c r="F19" s="132">
        <f>SUM(F8:F18)</f>
        <v>0</v>
      </c>
    </row>
    <row r="20" spans="1:6" ht="24.75" thickTop="1"/>
    <row r="21" spans="1:6">
      <c r="B21" s="112"/>
      <c r="C21" s="112"/>
      <c r="D21" s="112"/>
    </row>
    <row r="22" spans="1:6">
      <c r="B22" s="112"/>
    </row>
    <row r="23" spans="1:6">
      <c r="B23" s="112"/>
      <c r="C23" s="133"/>
      <c r="D23" s="133"/>
    </row>
    <row r="24" spans="1:6">
      <c r="B24" s="112"/>
    </row>
    <row r="25" spans="1:6">
      <c r="B25" s="112"/>
    </row>
    <row r="26" spans="1:6">
      <c r="B26" s="112"/>
    </row>
    <row r="28" spans="1:6">
      <c r="B28" s="112"/>
    </row>
  </sheetData>
  <mergeCells count="4">
    <mergeCell ref="A1:F1"/>
    <mergeCell ref="A2:F2"/>
    <mergeCell ref="A3:F3"/>
    <mergeCell ref="A4:F4"/>
  </mergeCells>
  <phoneticPr fontId="52" type="noConversion"/>
  <printOptions horizontalCentered="1"/>
  <pageMargins left="0.55118110236220474" right="0.38" top="0.39370078740157483" bottom="0.19685039370078741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E14" sqref="E13:E14"/>
    </sheetView>
  </sheetViews>
  <sheetFormatPr defaultRowHeight="24"/>
  <cols>
    <col min="1" max="1" width="35.85546875" style="114" customWidth="1"/>
    <col min="2" max="3" width="16" style="114" hidden="1" customWidth="1"/>
    <col min="4" max="8" width="21.28515625" style="114" customWidth="1"/>
    <col min="9" max="9" width="9.140625" style="114"/>
    <col min="10" max="10" width="11.28515625" style="113" bestFit="1" customWidth="1"/>
    <col min="11" max="11" width="9.7109375" style="113" bestFit="1" customWidth="1"/>
    <col min="12" max="16384" width="9.140625" style="114"/>
  </cols>
  <sheetData>
    <row r="1" spans="1:11" ht="27.75">
      <c r="A1" s="339" t="s">
        <v>0</v>
      </c>
      <c r="B1" s="339"/>
      <c r="C1" s="339"/>
      <c r="D1" s="339"/>
      <c r="E1" s="339"/>
      <c r="F1" s="339"/>
      <c r="G1" s="339"/>
      <c r="H1" s="339"/>
    </row>
    <row r="2" spans="1:11" ht="27.75">
      <c r="A2" s="339" t="s">
        <v>70</v>
      </c>
      <c r="B2" s="339"/>
      <c r="C2" s="339"/>
      <c r="D2" s="339"/>
      <c r="E2" s="339"/>
      <c r="F2" s="339"/>
      <c r="G2" s="339"/>
      <c r="H2" s="339"/>
    </row>
    <row r="3" spans="1:11" ht="27.75">
      <c r="A3" s="339" t="s">
        <v>163</v>
      </c>
      <c r="B3" s="339"/>
      <c r="C3" s="339"/>
      <c r="D3" s="339"/>
      <c r="E3" s="339"/>
      <c r="F3" s="339"/>
      <c r="G3" s="339"/>
      <c r="H3" s="339"/>
    </row>
    <row r="4" spans="1:11" ht="27.75">
      <c r="A4" s="339" t="s">
        <v>285</v>
      </c>
      <c r="B4" s="339"/>
      <c r="C4" s="339"/>
      <c r="D4" s="339"/>
      <c r="E4" s="339"/>
      <c r="F4" s="339"/>
      <c r="G4" s="339"/>
      <c r="H4" s="339"/>
    </row>
    <row r="5" spans="1:11" ht="27.75">
      <c r="A5" s="115"/>
      <c r="B5" s="115"/>
      <c r="C5" s="115"/>
      <c r="D5" s="115"/>
      <c r="E5" s="115"/>
      <c r="F5" s="115"/>
      <c r="G5" s="115"/>
      <c r="H5" s="115"/>
    </row>
    <row r="6" spans="1:11" s="119" customFormat="1" ht="48">
      <c r="A6" s="116" t="s">
        <v>76</v>
      </c>
      <c r="B6" s="116" t="s">
        <v>77</v>
      </c>
      <c r="C6" s="116" t="s">
        <v>78</v>
      </c>
      <c r="D6" s="116" t="s">
        <v>77</v>
      </c>
      <c r="E6" s="116" t="s">
        <v>36</v>
      </c>
      <c r="F6" s="116" t="s">
        <v>135</v>
      </c>
      <c r="G6" s="116" t="s">
        <v>136</v>
      </c>
      <c r="H6" s="116" t="s">
        <v>164</v>
      </c>
      <c r="J6" s="118"/>
      <c r="K6" s="118"/>
    </row>
    <row r="7" spans="1:11">
      <c r="A7" s="120" t="s">
        <v>81</v>
      </c>
      <c r="B7" s="121"/>
      <c r="C7" s="121"/>
      <c r="D7" s="121"/>
      <c r="E7" s="121"/>
      <c r="F7" s="121"/>
      <c r="G7" s="121"/>
      <c r="H7" s="121"/>
    </row>
    <row r="8" spans="1:11">
      <c r="A8" s="121" t="s">
        <v>82</v>
      </c>
      <c r="B8" s="122"/>
      <c r="C8" s="122"/>
      <c r="D8" s="122"/>
      <c r="E8" s="122"/>
      <c r="F8" s="122"/>
      <c r="G8" s="122"/>
      <c r="H8" s="122"/>
      <c r="K8" s="113">
        <v>50310</v>
      </c>
    </row>
    <row r="9" spans="1:11">
      <c r="A9" s="121" t="s">
        <v>83</v>
      </c>
      <c r="B9" s="122"/>
      <c r="C9" s="122"/>
      <c r="D9" s="122"/>
      <c r="E9" s="122">
        <f>SUM(F9:G9:H9)</f>
        <v>0</v>
      </c>
      <c r="F9" s="122"/>
      <c r="G9" s="122"/>
      <c r="H9" s="122"/>
      <c r="K9" s="113">
        <v>50310</v>
      </c>
    </row>
    <row r="10" spans="1:11">
      <c r="A10" s="121" t="s">
        <v>84</v>
      </c>
      <c r="B10" s="122">
        <v>1534380</v>
      </c>
      <c r="C10" s="123">
        <v>15900</v>
      </c>
      <c r="D10" s="122">
        <f t="shared" ref="D10:D18" si="0">B10+C10</f>
        <v>1550280</v>
      </c>
      <c r="E10" s="122">
        <f>SUM(F10:G10:H10)</f>
        <v>1458501.67</v>
      </c>
      <c r="F10" s="122">
        <f>839021.67+14200</f>
        <v>853221.67</v>
      </c>
      <c r="G10" s="122"/>
      <c r="H10" s="122">
        <v>605280</v>
      </c>
      <c r="K10" s="113">
        <v>50310</v>
      </c>
    </row>
    <row r="11" spans="1:11">
      <c r="A11" s="121" t="s">
        <v>85</v>
      </c>
      <c r="B11" s="122">
        <v>477400</v>
      </c>
      <c r="C11" s="123"/>
      <c r="D11" s="122">
        <f t="shared" si="0"/>
        <v>477400</v>
      </c>
      <c r="E11" s="122">
        <f>SUM(F11:G11:H11)</f>
        <v>386194</v>
      </c>
      <c r="F11" s="122">
        <f>53371+203000+5850</f>
        <v>262221</v>
      </c>
      <c r="G11" s="122"/>
      <c r="H11" s="122">
        <f>17973+106000</f>
        <v>123973</v>
      </c>
      <c r="K11" s="113">
        <v>50310</v>
      </c>
    </row>
    <row r="12" spans="1:11">
      <c r="A12" s="121" t="s">
        <v>86</v>
      </c>
      <c r="B12" s="122">
        <v>358000</v>
      </c>
      <c r="C12" s="123">
        <v>65000</v>
      </c>
      <c r="D12" s="122">
        <f t="shared" si="0"/>
        <v>423000</v>
      </c>
      <c r="E12" s="122">
        <f>SUM(F12:G12:H12)</f>
        <v>108184.23999999999</v>
      </c>
      <c r="F12" s="122">
        <v>34216.120000000003</v>
      </c>
      <c r="G12" s="122"/>
      <c r="H12" s="122">
        <v>73968.12</v>
      </c>
      <c r="K12" s="113">
        <v>50310</v>
      </c>
    </row>
    <row r="13" spans="1:11">
      <c r="A13" s="121" t="s">
        <v>87</v>
      </c>
      <c r="B13" s="122">
        <v>812000</v>
      </c>
      <c r="C13" s="123">
        <v>-14200</v>
      </c>
      <c r="D13" s="122">
        <f t="shared" si="0"/>
        <v>797800</v>
      </c>
      <c r="E13" s="122">
        <f>SUM(F13:G13:H13)</f>
        <v>554148</v>
      </c>
      <c r="F13" s="122">
        <v>384178</v>
      </c>
      <c r="G13" s="122"/>
      <c r="H13" s="122">
        <v>169970</v>
      </c>
      <c r="K13" s="113">
        <v>50310</v>
      </c>
    </row>
    <row r="14" spans="1:11">
      <c r="A14" s="121" t="s">
        <v>88</v>
      </c>
      <c r="B14" s="122">
        <v>3000</v>
      </c>
      <c r="C14" s="123"/>
      <c r="D14" s="122">
        <f t="shared" si="0"/>
        <v>3000</v>
      </c>
      <c r="E14" s="122">
        <f>SUM(F14:G14:H14)</f>
        <v>2000</v>
      </c>
      <c r="F14" s="122">
        <v>2000</v>
      </c>
      <c r="G14" s="122"/>
      <c r="H14" s="122"/>
      <c r="K14" s="113">
        <v>50310</v>
      </c>
    </row>
    <row r="15" spans="1:11">
      <c r="A15" s="121" t="s">
        <v>89</v>
      </c>
      <c r="B15" s="122">
        <v>97350</v>
      </c>
      <c r="C15" s="123"/>
      <c r="D15" s="122">
        <f t="shared" si="0"/>
        <v>97350</v>
      </c>
      <c r="E15" s="122">
        <f>SUM(F15:G15:H15)</f>
        <v>67550</v>
      </c>
      <c r="F15" s="122">
        <f>24000+3800+3800+750</f>
        <v>32350</v>
      </c>
      <c r="G15" s="122"/>
      <c r="H15" s="122">
        <v>35200</v>
      </c>
      <c r="K15" s="113">
        <v>50570</v>
      </c>
    </row>
    <row r="16" spans="1:11">
      <c r="A16" s="121" t="s">
        <v>90</v>
      </c>
      <c r="B16" s="122">
        <v>9542900</v>
      </c>
      <c r="C16" s="123">
        <f>448000-279000</f>
        <v>169000</v>
      </c>
      <c r="D16" s="122">
        <f t="shared" si="0"/>
        <v>9711900</v>
      </c>
      <c r="E16" s="122">
        <f>SUM(F16:G16:H16)</f>
        <v>9642043.6999999993</v>
      </c>
      <c r="F16" s="122">
        <v>693999.7</v>
      </c>
      <c r="G16" s="122">
        <f>6815544+518500</f>
        <v>7334044</v>
      </c>
      <c r="H16" s="122">
        <f>1166000+448000</f>
        <v>1614000</v>
      </c>
      <c r="K16" s="113">
        <v>50570</v>
      </c>
    </row>
    <row r="17" spans="1:11">
      <c r="A17" s="121" t="s">
        <v>91</v>
      </c>
      <c r="B17" s="122">
        <v>525000</v>
      </c>
      <c r="C17" s="122"/>
      <c r="D17" s="122">
        <f t="shared" si="0"/>
        <v>525000</v>
      </c>
      <c r="E17" s="122">
        <f>SUM(F17:G17:H17)</f>
        <v>512553.05</v>
      </c>
      <c r="F17" s="122"/>
      <c r="G17" s="122">
        <v>512553.05</v>
      </c>
      <c r="H17" s="122"/>
      <c r="K17" s="113">
        <v>50570</v>
      </c>
    </row>
    <row r="18" spans="1:11">
      <c r="A18" s="129" t="s">
        <v>92</v>
      </c>
      <c r="B18" s="130"/>
      <c r="C18" s="130"/>
      <c r="D18" s="122">
        <f t="shared" si="0"/>
        <v>0</v>
      </c>
      <c r="E18" s="122">
        <f>SUM(F18:G18:H18)</f>
        <v>0</v>
      </c>
      <c r="F18" s="122"/>
      <c r="G18" s="122"/>
      <c r="H18" s="122"/>
      <c r="K18" s="113">
        <v>50570</v>
      </c>
    </row>
    <row r="19" spans="1:11" ht="24.75" thickBot="1">
      <c r="A19" s="131" t="s">
        <v>36</v>
      </c>
      <c r="B19" s="132">
        <f>SUM(B8:B18)</f>
        <v>13350030</v>
      </c>
      <c r="C19" s="132">
        <f>SUM(C8:C18)</f>
        <v>235700</v>
      </c>
      <c r="D19" s="132">
        <f>SUM(D8:D18)</f>
        <v>13585730</v>
      </c>
      <c r="E19" s="132">
        <f>SUM(F19:G19:H19)</f>
        <v>12731174.66</v>
      </c>
      <c r="F19" s="132">
        <f>SUM(F8:F18)</f>
        <v>2262186.4900000002</v>
      </c>
      <c r="G19" s="132">
        <f>SUM(G8:G18)</f>
        <v>7846597.0499999998</v>
      </c>
      <c r="H19" s="132">
        <f>SUM(H8:H18)</f>
        <v>2622391.12</v>
      </c>
      <c r="K19" s="113">
        <v>50570</v>
      </c>
    </row>
    <row r="20" spans="1:11" ht="24.75" thickTop="1">
      <c r="K20" s="113">
        <f>SUM(K8:K19)</f>
        <v>605020</v>
      </c>
    </row>
    <row r="21" spans="1:11">
      <c r="B21" s="112"/>
      <c r="C21" s="112"/>
      <c r="D21" s="112"/>
    </row>
    <row r="22" spans="1:11">
      <c r="B22" s="112"/>
    </row>
    <row r="23" spans="1:11">
      <c r="B23" s="112"/>
      <c r="C23" s="133"/>
      <c r="D23" s="133"/>
    </row>
    <row r="24" spans="1:11">
      <c r="B24" s="112"/>
    </row>
    <row r="25" spans="1:11">
      <c r="B25" s="112"/>
    </row>
    <row r="26" spans="1:11">
      <c r="B26" s="112"/>
    </row>
    <row r="28" spans="1:11">
      <c r="B28" s="112"/>
    </row>
  </sheetData>
  <mergeCells count="4">
    <mergeCell ref="A1:H1"/>
    <mergeCell ref="A2:H2"/>
    <mergeCell ref="A3:H3"/>
    <mergeCell ref="A4:H4"/>
  </mergeCells>
  <phoneticPr fontId="52" type="noConversion"/>
  <printOptions horizontalCentered="1"/>
  <pageMargins left="0.3" right="0.28999999999999998" top="0.39370078740157483" bottom="0.19685039370078741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E14" sqref="E13:E14"/>
    </sheetView>
  </sheetViews>
  <sheetFormatPr defaultRowHeight="24"/>
  <cols>
    <col min="1" max="1" width="41.7109375" style="114" customWidth="1"/>
    <col min="2" max="2" width="17.140625" style="114" hidden="1" customWidth="1"/>
    <col min="3" max="3" width="17.42578125" style="114" hidden="1" customWidth="1"/>
    <col min="4" max="6" width="29" style="114" customWidth="1"/>
    <col min="7" max="7" width="4.42578125" style="112" customWidth="1"/>
    <col min="8" max="8" width="14" style="113" customWidth="1"/>
    <col min="9" max="9" width="17.140625" style="113" customWidth="1"/>
    <col min="10" max="16384" width="9.140625" style="114"/>
  </cols>
  <sheetData>
    <row r="1" spans="1:9" ht="27.75">
      <c r="A1" s="339" t="s">
        <v>0</v>
      </c>
      <c r="B1" s="339"/>
      <c r="C1" s="339"/>
      <c r="D1" s="339"/>
      <c r="E1" s="339"/>
      <c r="F1" s="339"/>
    </row>
    <row r="2" spans="1:9" ht="27.75">
      <c r="A2" s="339" t="s">
        <v>70</v>
      </c>
      <c r="B2" s="339"/>
      <c r="C2" s="339"/>
      <c r="D2" s="339"/>
      <c r="E2" s="339"/>
      <c r="F2" s="339"/>
    </row>
    <row r="3" spans="1:9" ht="27.75">
      <c r="A3" s="339" t="s">
        <v>165</v>
      </c>
      <c r="B3" s="339"/>
      <c r="C3" s="339"/>
      <c r="D3" s="339"/>
      <c r="E3" s="339"/>
      <c r="F3" s="339"/>
    </row>
    <row r="4" spans="1:9" ht="27.75">
      <c r="A4" s="340" t="s">
        <v>286</v>
      </c>
      <c r="B4" s="340"/>
      <c r="C4" s="340"/>
      <c r="D4" s="340"/>
      <c r="E4" s="340"/>
      <c r="F4" s="340"/>
    </row>
    <row r="5" spans="1:9" ht="27.75">
      <c r="A5" s="115"/>
      <c r="B5" s="115"/>
      <c r="C5" s="115"/>
      <c r="D5" s="115"/>
      <c r="E5" s="115"/>
      <c r="F5" s="115"/>
    </row>
    <row r="6" spans="1:9" s="119" customFormat="1" ht="48">
      <c r="A6" s="116" t="s">
        <v>76</v>
      </c>
      <c r="B6" s="116" t="s">
        <v>77</v>
      </c>
      <c r="C6" s="116" t="s">
        <v>78</v>
      </c>
      <c r="D6" s="116" t="s">
        <v>77</v>
      </c>
      <c r="E6" s="116" t="s">
        <v>36</v>
      </c>
      <c r="F6" s="116" t="s">
        <v>166</v>
      </c>
      <c r="G6" s="117"/>
      <c r="H6" s="118"/>
      <c r="I6" s="118"/>
    </row>
    <row r="7" spans="1:9">
      <c r="A7" s="120" t="s">
        <v>81</v>
      </c>
      <c r="B7" s="121"/>
      <c r="C7" s="121"/>
      <c r="D7" s="121"/>
      <c r="E7" s="121"/>
      <c r="F7" s="121"/>
    </row>
    <row r="8" spans="1:9">
      <c r="A8" s="121" t="s">
        <v>82</v>
      </c>
      <c r="B8" s="122"/>
      <c r="C8" s="122"/>
      <c r="D8" s="122"/>
      <c r="E8" s="122">
        <f t="shared" ref="E8:E18" si="0">SUM(F8:F8)</f>
        <v>0</v>
      </c>
      <c r="F8" s="122"/>
    </row>
    <row r="9" spans="1:9">
      <c r="A9" s="121" t="s">
        <v>83</v>
      </c>
      <c r="B9" s="122"/>
      <c r="C9" s="122"/>
      <c r="D9" s="122"/>
      <c r="E9" s="122">
        <f t="shared" si="0"/>
        <v>0</v>
      </c>
      <c r="F9" s="122"/>
    </row>
    <row r="10" spans="1:9">
      <c r="A10" s="121" t="s">
        <v>84</v>
      </c>
      <c r="B10" s="122">
        <v>10000</v>
      </c>
      <c r="C10" s="123"/>
      <c r="D10" s="122">
        <f t="shared" ref="D10:D16" si="1">B10-C10</f>
        <v>10000</v>
      </c>
      <c r="E10" s="122">
        <f t="shared" si="0"/>
        <v>0</v>
      </c>
      <c r="F10" s="122"/>
    </row>
    <row r="11" spans="1:9">
      <c r="A11" s="121" t="s">
        <v>85</v>
      </c>
      <c r="B11" s="122"/>
      <c r="C11" s="123"/>
      <c r="D11" s="122">
        <f t="shared" si="1"/>
        <v>0</v>
      </c>
      <c r="E11" s="122">
        <f t="shared" si="0"/>
        <v>0</v>
      </c>
      <c r="F11" s="122"/>
    </row>
    <row r="12" spans="1:9">
      <c r="A12" s="121" t="s">
        <v>86</v>
      </c>
      <c r="B12" s="122">
        <v>470000</v>
      </c>
      <c r="C12" s="123">
        <f>-176000</f>
        <v>-176000</v>
      </c>
      <c r="D12" s="122">
        <f>B12+C12</f>
        <v>294000</v>
      </c>
      <c r="E12" s="122">
        <f t="shared" si="0"/>
        <v>186316.2</v>
      </c>
      <c r="F12" s="122">
        <v>186316.2</v>
      </c>
    </row>
    <row r="13" spans="1:9">
      <c r="A13" s="121" t="s">
        <v>87</v>
      </c>
      <c r="B13" s="122"/>
      <c r="C13" s="123"/>
      <c r="D13" s="122">
        <f t="shared" si="1"/>
        <v>0</v>
      </c>
      <c r="E13" s="122">
        <f t="shared" si="0"/>
        <v>0</v>
      </c>
      <c r="F13" s="122"/>
    </row>
    <row r="14" spans="1:9">
      <c r="A14" s="121" t="s">
        <v>88</v>
      </c>
      <c r="B14" s="122"/>
      <c r="C14" s="123"/>
      <c r="D14" s="122">
        <f t="shared" si="1"/>
        <v>0</v>
      </c>
      <c r="E14" s="122">
        <f t="shared" si="0"/>
        <v>0</v>
      </c>
      <c r="F14" s="122"/>
    </row>
    <row r="15" spans="1:9">
      <c r="A15" s="121" t="s">
        <v>89</v>
      </c>
      <c r="B15" s="122"/>
      <c r="C15" s="123"/>
      <c r="D15" s="122">
        <f t="shared" si="1"/>
        <v>0</v>
      </c>
      <c r="E15" s="122">
        <f t="shared" si="0"/>
        <v>0</v>
      </c>
      <c r="F15" s="122"/>
    </row>
    <row r="16" spans="1:9">
      <c r="A16" s="121" t="s">
        <v>90</v>
      </c>
      <c r="B16" s="122"/>
      <c r="C16" s="123"/>
      <c r="D16" s="122">
        <f t="shared" si="1"/>
        <v>0</v>
      </c>
      <c r="E16" s="122">
        <f t="shared" si="0"/>
        <v>0</v>
      </c>
      <c r="F16" s="122"/>
    </row>
    <row r="17" spans="1:6">
      <c r="A17" s="121" t="s">
        <v>91</v>
      </c>
      <c r="B17" s="122">
        <v>140000</v>
      </c>
      <c r="C17" s="122">
        <v>-107500</v>
      </c>
      <c r="D17" s="122">
        <f>B17+C17</f>
        <v>32500</v>
      </c>
      <c r="E17" s="122">
        <f t="shared" si="0"/>
        <v>0</v>
      </c>
      <c r="F17" s="122"/>
    </row>
    <row r="18" spans="1:6">
      <c r="A18" s="129" t="s">
        <v>92</v>
      </c>
      <c r="B18" s="130"/>
      <c r="C18" s="130"/>
      <c r="D18" s="122">
        <f>B18-C18</f>
        <v>0</v>
      </c>
      <c r="E18" s="122">
        <f t="shared" si="0"/>
        <v>0</v>
      </c>
      <c r="F18" s="122"/>
    </row>
    <row r="19" spans="1:6" ht="24.75" thickBot="1">
      <c r="A19" s="131" t="s">
        <v>36</v>
      </c>
      <c r="B19" s="132">
        <f>SUM(B8:B18)</f>
        <v>620000</v>
      </c>
      <c r="C19" s="132">
        <f>SUM(C8:C18)</f>
        <v>-283500</v>
      </c>
      <c r="D19" s="132">
        <f>SUM(D8:D18)</f>
        <v>336500</v>
      </c>
      <c r="E19" s="132">
        <f>SUM(E8:E18)</f>
        <v>186316.2</v>
      </c>
      <c r="F19" s="132">
        <f>SUM(F8:F18)</f>
        <v>186316.2</v>
      </c>
    </row>
    <row r="20" spans="1:6" ht="24.75" thickTop="1"/>
    <row r="21" spans="1:6">
      <c r="B21" s="112"/>
      <c r="C21" s="112"/>
      <c r="D21" s="112"/>
    </row>
    <row r="22" spans="1:6">
      <c r="B22" s="112"/>
    </row>
    <row r="23" spans="1:6">
      <c r="B23" s="112"/>
      <c r="C23" s="133"/>
      <c r="D23" s="133"/>
    </row>
    <row r="24" spans="1:6">
      <c r="B24" s="112"/>
    </row>
    <row r="25" spans="1:6">
      <c r="B25" s="112"/>
    </row>
    <row r="26" spans="1:6">
      <c r="B26" s="112"/>
    </row>
    <row r="28" spans="1:6">
      <c r="B28" s="112"/>
    </row>
  </sheetData>
  <mergeCells count="4">
    <mergeCell ref="A1:F1"/>
    <mergeCell ref="A2:F2"/>
    <mergeCell ref="A3:F3"/>
    <mergeCell ref="A4:F4"/>
  </mergeCells>
  <phoneticPr fontId="52" type="noConversion"/>
  <printOptions horizontalCentered="1"/>
  <pageMargins left="0.55118110236220474" right="0.55118110236220474" top="0.49" bottom="0.19685039370078741" header="0.57999999999999996" footer="0.51181102362204722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I15" sqref="I15"/>
    </sheetView>
  </sheetViews>
  <sheetFormatPr defaultRowHeight="24"/>
  <cols>
    <col min="1" max="1" width="37.85546875" style="114" customWidth="1"/>
    <col min="2" max="3" width="17.42578125" style="114" hidden="1" customWidth="1"/>
    <col min="4" max="7" width="25.28515625" style="114" customWidth="1"/>
    <col min="8" max="8" width="6" style="112" customWidth="1"/>
    <col min="9" max="16384" width="9.140625" style="114"/>
  </cols>
  <sheetData>
    <row r="1" spans="1:8" ht="27.75">
      <c r="A1" s="339" t="s">
        <v>0</v>
      </c>
      <c r="B1" s="339"/>
      <c r="C1" s="339"/>
      <c r="D1" s="339"/>
      <c r="E1" s="339"/>
      <c r="F1" s="339"/>
      <c r="G1" s="339"/>
    </row>
    <row r="2" spans="1:8" ht="27.75">
      <c r="A2" s="339" t="s">
        <v>70</v>
      </c>
      <c r="B2" s="339"/>
      <c r="C2" s="339"/>
      <c r="D2" s="339"/>
      <c r="E2" s="339"/>
      <c r="F2" s="339"/>
      <c r="G2" s="339"/>
    </row>
    <row r="3" spans="1:8" ht="27.75">
      <c r="A3" s="339" t="s">
        <v>167</v>
      </c>
      <c r="B3" s="339"/>
      <c r="C3" s="339"/>
      <c r="D3" s="339"/>
      <c r="E3" s="339"/>
      <c r="F3" s="339"/>
      <c r="G3" s="339"/>
    </row>
    <row r="4" spans="1:8" ht="27.75">
      <c r="A4" s="340" t="s">
        <v>278</v>
      </c>
      <c r="B4" s="340"/>
      <c r="C4" s="340"/>
      <c r="D4" s="340"/>
      <c r="E4" s="340"/>
      <c r="F4" s="340"/>
      <c r="G4" s="340"/>
    </row>
    <row r="5" spans="1:8" ht="27.75">
      <c r="A5" s="115"/>
      <c r="B5" s="115"/>
      <c r="C5" s="115"/>
      <c r="D5" s="115"/>
      <c r="E5" s="115"/>
      <c r="F5" s="115"/>
      <c r="G5" s="115"/>
    </row>
    <row r="6" spans="1:8" s="119" customFormat="1" ht="48">
      <c r="A6" s="116" t="s">
        <v>76</v>
      </c>
      <c r="B6" s="116" t="s">
        <v>77</v>
      </c>
      <c r="C6" s="116" t="s">
        <v>78</v>
      </c>
      <c r="D6" s="116" t="s">
        <v>77</v>
      </c>
      <c r="E6" s="116" t="s">
        <v>36</v>
      </c>
      <c r="F6" s="116" t="s">
        <v>168</v>
      </c>
      <c r="G6" s="116" t="s">
        <v>169</v>
      </c>
      <c r="H6" s="117"/>
    </row>
    <row r="7" spans="1:8">
      <c r="A7" s="120" t="s">
        <v>81</v>
      </c>
      <c r="B7" s="121"/>
      <c r="C7" s="121"/>
      <c r="D7" s="121"/>
      <c r="E7" s="121"/>
      <c r="F7" s="121"/>
      <c r="G7" s="121"/>
    </row>
    <row r="8" spans="1:8">
      <c r="A8" s="121" t="s">
        <v>82</v>
      </c>
      <c r="B8" s="122"/>
      <c r="C8" s="122"/>
      <c r="D8" s="122"/>
      <c r="E8" s="122">
        <f t="shared" ref="E8:E18" si="0">SUM(F8:G8)</f>
        <v>0</v>
      </c>
      <c r="F8" s="122"/>
      <c r="G8" s="122"/>
    </row>
    <row r="9" spans="1:8">
      <c r="A9" s="121" t="s">
        <v>83</v>
      </c>
      <c r="B9" s="122"/>
      <c r="C9" s="122"/>
      <c r="D9" s="122"/>
      <c r="E9" s="122">
        <f t="shared" si="0"/>
        <v>0</v>
      </c>
      <c r="F9" s="122"/>
      <c r="G9" s="122"/>
    </row>
    <row r="10" spans="1:8">
      <c r="A10" s="121" t="s">
        <v>84</v>
      </c>
      <c r="B10" s="122"/>
      <c r="C10" s="123"/>
      <c r="D10" s="122"/>
      <c r="E10" s="122">
        <f t="shared" si="0"/>
        <v>0</v>
      </c>
      <c r="F10" s="122"/>
      <c r="G10" s="122"/>
    </row>
    <row r="11" spans="1:8">
      <c r="A11" s="121" t="s">
        <v>85</v>
      </c>
      <c r="B11" s="122"/>
      <c r="C11" s="123"/>
      <c r="D11" s="122"/>
      <c r="E11" s="122">
        <f t="shared" si="0"/>
        <v>0</v>
      </c>
      <c r="F11" s="122"/>
      <c r="G11" s="122"/>
    </row>
    <row r="12" spans="1:8">
      <c r="A12" s="121" t="s">
        <v>86</v>
      </c>
      <c r="B12" s="122">
        <v>710000</v>
      </c>
      <c r="C12" s="123">
        <v>-83220</v>
      </c>
      <c r="D12" s="122">
        <f>B12+C12</f>
        <v>626780</v>
      </c>
      <c r="E12" s="122">
        <f t="shared" si="0"/>
        <v>574495</v>
      </c>
      <c r="F12" s="122">
        <v>124510</v>
      </c>
      <c r="G12" s="122">
        <v>449985</v>
      </c>
    </row>
    <row r="13" spans="1:8">
      <c r="A13" s="121" t="s">
        <v>87</v>
      </c>
      <c r="B13" s="122">
        <v>15000</v>
      </c>
      <c r="C13" s="123"/>
      <c r="D13" s="122">
        <v>15000</v>
      </c>
      <c r="E13" s="122">
        <f t="shared" si="0"/>
        <v>10350</v>
      </c>
      <c r="F13" s="122">
        <v>10350</v>
      </c>
      <c r="G13" s="122"/>
    </row>
    <row r="14" spans="1:8">
      <c r="A14" s="121" t="s">
        <v>88</v>
      </c>
      <c r="B14" s="122"/>
      <c r="C14" s="123"/>
      <c r="D14" s="122"/>
      <c r="E14" s="122">
        <f t="shared" si="0"/>
        <v>0</v>
      </c>
      <c r="F14" s="122"/>
      <c r="G14" s="122"/>
    </row>
    <row r="15" spans="1:8">
      <c r="A15" s="121" t="s">
        <v>89</v>
      </c>
      <c r="B15" s="122"/>
      <c r="C15" s="123"/>
      <c r="D15" s="122"/>
      <c r="E15" s="122">
        <f t="shared" si="0"/>
        <v>0</v>
      </c>
      <c r="F15" s="122"/>
      <c r="G15" s="122"/>
    </row>
    <row r="16" spans="1:8">
      <c r="A16" s="121" t="s">
        <v>90</v>
      </c>
      <c r="B16" s="122"/>
      <c r="C16" s="123"/>
      <c r="D16" s="122"/>
      <c r="E16" s="122">
        <f t="shared" si="0"/>
        <v>0</v>
      </c>
      <c r="F16" s="122"/>
      <c r="G16" s="122"/>
    </row>
    <row r="17" spans="1:7">
      <c r="A17" s="121" t="s">
        <v>91</v>
      </c>
      <c r="B17" s="122"/>
      <c r="C17" s="122"/>
      <c r="D17" s="122"/>
      <c r="E17" s="122">
        <f t="shared" si="0"/>
        <v>0</v>
      </c>
      <c r="F17" s="122"/>
      <c r="G17" s="122"/>
    </row>
    <row r="18" spans="1:7">
      <c r="A18" s="129" t="s">
        <v>92</v>
      </c>
      <c r="B18" s="130"/>
      <c r="C18" s="130"/>
      <c r="D18" s="122"/>
      <c r="E18" s="122">
        <f t="shared" si="0"/>
        <v>0</v>
      </c>
      <c r="F18" s="122"/>
      <c r="G18" s="122"/>
    </row>
    <row r="19" spans="1:7" ht="24.75" thickBot="1">
      <c r="A19" s="131" t="s">
        <v>36</v>
      </c>
      <c r="B19" s="132">
        <f t="shared" ref="B19:G19" si="1">SUM(B8:B18)</f>
        <v>725000</v>
      </c>
      <c r="C19" s="132">
        <f t="shared" si="1"/>
        <v>-83220</v>
      </c>
      <c r="D19" s="132">
        <f t="shared" si="1"/>
        <v>641780</v>
      </c>
      <c r="E19" s="132">
        <f t="shared" si="1"/>
        <v>584845</v>
      </c>
      <c r="F19" s="132">
        <f t="shared" si="1"/>
        <v>134860</v>
      </c>
      <c r="G19" s="132">
        <f t="shared" si="1"/>
        <v>449985</v>
      </c>
    </row>
    <row r="20" spans="1:7" ht="24.75" thickTop="1"/>
    <row r="21" spans="1:7">
      <c r="B21" s="112"/>
      <c r="C21" s="112"/>
      <c r="D21" s="112"/>
    </row>
    <row r="22" spans="1:7">
      <c r="B22" s="112"/>
    </row>
    <row r="23" spans="1:7">
      <c r="B23" s="112"/>
      <c r="C23" s="133"/>
      <c r="D23" s="133"/>
    </row>
    <row r="24" spans="1:7">
      <c r="B24" s="112"/>
    </row>
    <row r="25" spans="1:7">
      <c r="B25" s="112"/>
    </row>
    <row r="26" spans="1:7">
      <c r="B26" s="112"/>
    </row>
    <row r="28" spans="1:7">
      <c r="B28" s="112"/>
    </row>
  </sheetData>
  <mergeCells count="4">
    <mergeCell ref="A1:G1"/>
    <mergeCell ref="A2:G2"/>
    <mergeCell ref="A3:G3"/>
    <mergeCell ref="A4:G4"/>
  </mergeCells>
  <phoneticPr fontId="52" type="noConversion"/>
  <printOptions horizontalCentered="1"/>
  <pageMargins left="0.41" right="0.25" top="0.39370078740157483" bottom="0.19685039370078741" header="0.51181102362204722" footer="0.51181102362204722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I15" sqref="I15"/>
    </sheetView>
  </sheetViews>
  <sheetFormatPr defaultRowHeight="24"/>
  <cols>
    <col min="1" max="1" width="38.140625" style="114" customWidth="1"/>
    <col min="2" max="3" width="18.85546875" style="114" hidden="1" customWidth="1"/>
    <col min="4" max="6" width="30.42578125" style="114" customWidth="1"/>
    <col min="7" max="16384" width="9.140625" style="114"/>
  </cols>
  <sheetData>
    <row r="1" spans="1:6" ht="27.75">
      <c r="A1" s="339" t="s">
        <v>0</v>
      </c>
      <c r="B1" s="339"/>
      <c r="C1" s="339"/>
      <c r="D1" s="339"/>
      <c r="E1" s="339"/>
      <c r="F1" s="339"/>
    </row>
    <row r="2" spans="1:6" ht="27.75">
      <c r="A2" s="339" t="s">
        <v>70</v>
      </c>
      <c r="B2" s="339"/>
      <c r="C2" s="339"/>
      <c r="D2" s="339"/>
      <c r="E2" s="339"/>
      <c r="F2" s="339"/>
    </row>
    <row r="3" spans="1:6" ht="27.75">
      <c r="A3" s="339" t="s">
        <v>170</v>
      </c>
      <c r="B3" s="339"/>
      <c r="C3" s="339"/>
      <c r="D3" s="339"/>
      <c r="E3" s="339"/>
      <c r="F3" s="339"/>
    </row>
    <row r="4" spans="1:6" ht="27.75">
      <c r="A4" s="340" t="s">
        <v>286</v>
      </c>
      <c r="B4" s="340"/>
      <c r="C4" s="340"/>
      <c r="D4" s="340"/>
      <c r="E4" s="340"/>
      <c r="F4" s="340"/>
    </row>
    <row r="5" spans="1:6" ht="27.75">
      <c r="A5" s="115"/>
      <c r="B5" s="115"/>
      <c r="C5" s="115"/>
      <c r="D5" s="115"/>
      <c r="E5" s="115"/>
      <c r="F5" s="115"/>
    </row>
    <row r="6" spans="1:6" s="119" customFormat="1" ht="48">
      <c r="A6" s="116" t="s">
        <v>76</v>
      </c>
      <c r="B6" s="116" t="s">
        <v>77</v>
      </c>
      <c r="C6" s="116" t="s">
        <v>78</v>
      </c>
      <c r="D6" s="116" t="s">
        <v>77</v>
      </c>
      <c r="E6" s="116" t="s">
        <v>36</v>
      </c>
      <c r="F6" s="116" t="s">
        <v>171</v>
      </c>
    </row>
    <row r="7" spans="1:6">
      <c r="A7" s="120" t="s">
        <v>81</v>
      </c>
      <c r="B7" s="121"/>
      <c r="C7" s="121"/>
      <c r="D7" s="121"/>
      <c r="E7" s="121"/>
      <c r="F7" s="121"/>
    </row>
    <row r="8" spans="1:6">
      <c r="A8" s="121" t="s">
        <v>82</v>
      </c>
      <c r="B8" s="122"/>
      <c r="C8" s="122"/>
      <c r="D8" s="122"/>
      <c r="E8" s="122">
        <f t="shared" ref="E8:E18" si="0">SUM(F8:F8)</f>
        <v>0</v>
      </c>
      <c r="F8" s="122"/>
    </row>
    <row r="9" spans="1:6">
      <c r="A9" s="121" t="s">
        <v>83</v>
      </c>
      <c r="B9" s="122"/>
      <c r="C9" s="122"/>
      <c r="D9" s="122"/>
      <c r="E9" s="122">
        <f t="shared" si="0"/>
        <v>0</v>
      </c>
      <c r="F9" s="122"/>
    </row>
    <row r="10" spans="1:6">
      <c r="A10" s="121" t="s">
        <v>84</v>
      </c>
      <c r="B10" s="122">
        <v>186840</v>
      </c>
      <c r="C10" s="123"/>
      <c r="D10" s="122">
        <f t="shared" ref="D10:D18" si="1">B10+C10</f>
        <v>186840</v>
      </c>
      <c r="E10" s="122">
        <f t="shared" si="0"/>
        <v>180000</v>
      </c>
      <c r="F10" s="122">
        <v>180000</v>
      </c>
    </row>
    <row r="11" spans="1:6">
      <c r="A11" s="121" t="s">
        <v>85</v>
      </c>
      <c r="B11" s="122">
        <v>103200</v>
      </c>
      <c r="C11" s="123"/>
      <c r="D11" s="122">
        <f t="shared" si="1"/>
        <v>103200</v>
      </c>
      <c r="E11" s="122">
        <f t="shared" si="0"/>
        <v>80351</v>
      </c>
      <c r="F11" s="122">
        <f>32951+47400</f>
        <v>80351</v>
      </c>
    </row>
    <row r="12" spans="1:6">
      <c r="A12" s="121" t="s">
        <v>86</v>
      </c>
      <c r="B12" s="122">
        <v>170000</v>
      </c>
      <c r="C12" s="123"/>
      <c r="D12" s="122">
        <f t="shared" si="1"/>
        <v>170000</v>
      </c>
      <c r="E12" s="122">
        <f t="shared" si="0"/>
        <v>111409.44</v>
      </c>
      <c r="F12" s="122">
        <v>111409.44</v>
      </c>
    </row>
    <row r="13" spans="1:6">
      <c r="A13" s="121" t="s">
        <v>87</v>
      </c>
      <c r="B13" s="122">
        <v>54000</v>
      </c>
      <c r="C13" s="123"/>
      <c r="D13" s="122">
        <f t="shared" si="1"/>
        <v>54000</v>
      </c>
      <c r="E13" s="122">
        <f t="shared" si="0"/>
        <v>25120</v>
      </c>
      <c r="F13" s="122">
        <v>25120</v>
      </c>
    </row>
    <row r="14" spans="1:6">
      <c r="A14" s="121" t="s">
        <v>88</v>
      </c>
      <c r="B14" s="122"/>
      <c r="C14" s="123"/>
      <c r="D14" s="122">
        <f t="shared" si="1"/>
        <v>0</v>
      </c>
      <c r="E14" s="122">
        <f t="shared" si="0"/>
        <v>0</v>
      </c>
      <c r="F14" s="122"/>
    </row>
    <row r="15" spans="1:6">
      <c r="A15" s="121" t="s">
        <v>89</v>
      </c>
      <c r="B15" s="122">
        <v>33350</v>
      </c>
      <c r="C15" s="123"/>
      <c r="D15" s="122">
        <f t="shared" si="1"/>
        <v>33350</v>
      </c>
      <c r="E15" s="122">
        <f t="shared" si="0"/>
        <v>32000</v>
      </c>
      <c r="F15" s="122">
        <v>32000</v>
      </c>
    </row>
    <row r="16" spans="1:6">
      <c r="A16" s="121" t="s">
        <v>90</v>
      </c>
      <c r="B16" s="122"/>
      <c r="C16" s="123"/>
      <c r="D16" s="122">
        <f t="shared" si="1"/>
        <v>0</v>
      </c>
      <c r="E16" s="122">
        <f t="shared" si="0"/>
        <v>0</v>
      </c>
      <c r="F16" s="122"/>
    </row>
    <row r="17" spans="1:6">
      <c r="A17" s="121" t="s">
        <v>91</v>
      </c>
      <c r="B17" s="122"/>
      <c r="C17" s="122"/>
      <c r="D17" s="122">
        <f t="shared" si="1"/>
        <v>0</v>
      </c>
      <c r="E17" s="122">
        <f t="shared" si="0"/>
        <v>0</v>
      </c>
      <c r="F17" s="122"/>
    </row>
    <row r="18" spans="1:6">
      <c r="A18" s="129" t="s">
        <v>92</v>
      </c>
      <c r="B18" s="130"/>
      <c r="C18" s="130"/>
      <c r="D18" s="122">
        <f t="shared" si="1"/>
        <v>0</v>
      </c>
      <c r="E18" s="122">
        <f t="shared" si="0"/>
        <v>0</v>
      </c>
      <c r="F18" s="122"/>
    </row>
    <row r="19" spans="1:6" ht="24.75" thickBot="1">
      <c r="A19" s="131" t="s">
        <v>36</v>
      </c>
      <c r="B19" s="132">
        <f>SUM(B8:B18)</f>
        <v>547390</v>
      </c>
      <c r="C19" s="132">
        <f>SUM(C8:C18)</f>
        <v>0</v>
      </c>
      <c r="D19" s="132">
        <f>SUM(D8:D18)</f>
        <v>547390</v>
      </c>
      <c r="E19" s="132">
        <f>SUM(E8:E18)</f>
        <v>428880.44</v>
      </c>
      <c r="F19" s="132">
        <f>SUM(F8:F18)</f>
        <v>428880.44</v>
      </c>
    </row>
    <row r="20" spans="1:6" ht="24.75" thickTop="1"/>
    <row r="21" spans="1:6">
      <c r="B21" s="112"/>
      <c r="C21" s="112"/>
      <c r="D21" s="112"/>
    </row>
    <row r="22" spans="1:6">
      <c r="B22" s="112"/>
    </row>
    <row r="23" spans="1:6">
      <c r="B23" s="112"/>
      <c r="C23" s="133"/>
      <c r="D23" s="133"/>
    </row>
    <row r="24" spans="1:6">
      <c r="B24" s="112"/>
    </row>
    <row r="25" spans="1:6">
      <c r="B25" s="112"/>
    </row>
    <row r="26" spans="1:6">
      <c r="B26" s="112"/>
    </row>
    <row r="28" spans="1:6">
      <c r="B28" s="112"/>
    </row>
  </sheetData>
  <mergeCells count="4">
    <mergeCell ref="A1:F1"/>
    <mergeCell ref="A2:F2"/>
    <mergeCell ref="A3:F3"/>
    <mergeCell ref="A4:F4"/>
  </mergeCells>
  <phoneticPr fontId="52" type="noConversion"/>
  <printOptions horizontalCentered="1"/>
  <pageMargins left="0.4" right="0.55118110236220474" top="0.39370078740157483" bottom="0.19685039370078741" header="0.51181102362204722" footer="0.51181102362204722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I15" sqref="I15"/>
    </sheetView>
  </sheetViews>
  <sheetFormatPr defaultRowHeight="24"/>
  <cols>
    <col min="1" max="1" width="38.7109375" style="114" customWidth="1"/>
    <col min="2" max="2" width="17.85546875" style="114" hidden="1" customWidth="1"/>
    <col min="3" max="3" width="17.42578125" style="114" hidden="1" customWidth="1"/>
    <col min="4" max="6" width="31.7109375" style="114" customWidth="1"/>
    <col min="7" max="7" width="1.85546875" style="114" customWidth="1"/>
    <col min="8" max="8" width="2" style="114" customWidth="1"/>
    <col min="9" max="9" width="11.28515625" style="113" bestFit="1" customWidth="1"/>
    <col min="10" max="10" width="9.140625" style="113"/>
    <col min="11" max="16384" width="9.140625" style="114"/>
  </cols>
  <sheetData>
    <row r="1" spans="1:10" ht="27.75">
      <c r="A1" s="339" t="s">
        <v>0</v>
      </c>
      <c r="B1" s="339"/>
      <c r="C1" s="339"/>
      <c r="D1" s="339"/>
      <c r="E1" s="339"/>
      <c r="F1" s="339"/>
    </row>
    <row r="2" spans="1:10" ht="27.75">
      <c r="A2" s="339" t="s">
        <v>70</v>
      </c>
      <c r="B2" s="339"/>
      <c r="C2" s="339"/>
      <c r="D2" s="339"/>
      <c r="E2" s="339"/>
      <c r="F2" s="339"/>
    </row>
    <row r="3" spans="1:10" ht="27.75">
      <c r="A3" s="339" t="s">
        <v>172</v>
      </c>
      <c r="B3" s="339"/>
      <c r="C3" s="339"/>
      <c r="D3" s="339"/>
      <c r="E3" s="339"/>
      <c r="F3" s="339"/>
    </row>
    <row r="4" spans="1:10" ht="27.75">
      <c r="A4" s="340" t="s">
        <v>286</v>
      </c>
      <c r="B4" s="340"/>
      <c r="C4" s="340"/>
      <c r="D4" s="340"/>
      <c r="E4" s="340"/>
      <c r="F4" s="340"/>
    </row>
    <row r="5" spans="1:10" ht="27.75">
      <c r="A5" s="115"/>
      <c r="B5" s="115"/>
      <c r="C5" s="115"/>
      <c r="D5" s="115"/>
      <c r="E5" s="115"/>
      <c r="F5" s="115"/>
    </row>
    <row r="6" spans="1:10" s="119" customFormat="1" ht="48">
      <c r="A6" s="116" t="s">
        <v>76</v>
      </c>
      <c r="B6" s="116" t="s">
        <v>77</v>
      </c>
      <c r="C6" s="116" t="s">
        <v>78</v>
      </c>
      <c r="D6" s="116" t="s">
        <v>77</v>
      </c>
      <c r="E6" s="116" t="s">
        <v>36</v>
      </c>
      <c r="F6" s="116" t="s">
        <v>173</v>
      </c>
      <c r="I6" s="118"/>
      <c r="J6" s="118"/>
    </row>
    <row r="7" spans="1:10">
      <c r="A7" s="120" t="s">
        <v>81</v>
      </c>
      <c r="B7" s="121"/>
      <c r="C7" s="121"/>
      <c r="D7" s="121"/>
      <c r="E7" s="121"/>
      <c r="F7" s="121"/>
    </row>
    <row r="8" spans="1:10">
      <c r="A8" s="121" t="s">
        <v>82</v>
      </c>
      <c r="B8" s="122"/>
      <c r="C8" s="122"/>
      <c r="D8" s="122"/>
      <c r="E8" s="122">
        <f t="shared" ref="E8:E18" si="0">SUM(F8:F8)</f>
        <v>0</v>
      </c>
      <c r="F8" s="122"/>
    </row>
    <row r="9" spans="1:10">
      <c r="A9" s="121" t="s">
        <v>83</v>
      </c>
      <c r="B9" s="122"/>
      <c r="C9" s="122"/>
      <c r="D9" s="122">
        <f t="shared" ref="D9:D18" si="1">B9+C9</f>
        <v>0</v>
      </c>
      <c r="E9" s="122">
        <f t="shared" si="0"/>
        <v>0</v>
      </c>
      <c r="F9" s="122"/>
    </row>
    <row r="10" spans="1:10">
      <c r="A10" s="121" t="s">
        <v>84</v>
      </c>
      <c r="B10" s="122"/>
      <c r="C10" s="123"/>
      <c r="D10" s="122">
        <f t="shared" si="1"/>
        <v>0</v>
      </c>
      <c r="E10" s="122">
        <f t="shared" si="0"/>
        <v>0</v>
      </c>
      <c r="F10" s="122"/>
    </row>
    <row r="11" spans="1:10">
      <c r="A11" s="121" t="s">
        <v>85</v>
      </c>
      <c r="B11" s="122"/>
      <c r="C11" s="123"/>
      <c r="D11" s="122">
        <f t="shared" si="1"/>
        <v>0</v>
      </c>
      <c r="E11" s="122">
        <f t="shared" si="0"/>
        <v>0</v>
      </c>
      <c r="F11" s="122"/>
    </row>
    <row r="12" spans="1:10">
      <c r="A12" s="121" t="s">
        <v>86</v>
      </c>
      <c r="B12" s="122">
        <v>4000</v>
      </c>
      <c r="C12" s="123"/>
      <c r="D12" s="122">
        <f t="shared" si="1"/>
        <v>4000</v>
      </c>
      <c r="E12" s="122">
        <f t="shared" si="0"/>
        <v>3768</v>
      </c>
      <c r="F12" s="122">
        <v>3768</v>
      </c>
    </row>
    <row r="13" spans="1:10">
      <c r="A13" s="121" t="s">
        <v>87</v>
      </c>
      <c r="B13" s="122"/>
      <c r="C13" s="123"/>
      <c r="D13" s="122">
        <f t="shared" si="1"/>
        <v>0</v>
      </c>
      <c r="E13" s="122">
        <f t="shared" si="0"/>
        <v>0</v>
      </c>
      <c r="F13" s="122"/>
    </row>
    <row r="14" spans="1:10">
      <c r="A14" s="121" t="s">
        <v>88</v>
      </c>
      <c r="B14" s="122">
        <v>90000</v>
      </c>
      <c r="C14" s="123"/>
      <c r="D14" s="122">
        <f t="shared" si="1"/>
        <v>90000</v>
      </c>
      <c r="E14" s="122">
        <f t="shared" si="0"/>
        <v>79561.289999999994</v>
      </c>
      <c r="F14" s="122">
        <v>79561.289999999994</v>
      </c>
    </row>
    <row r="15" spans="1:10">
      <c r="A15" s="121" t="s">
        <v>89</v>
      </c>
      <c r="B15" s="122"/>
      <c r="C15" s="123"/>
      <c r="D15" s="122">
        <f t="shared" si="1"/>
        <v>0</v>
      </c>
      <c r="E15" s="122">
        <f t="shared" si="0"/>
        <v>0</v>
      </c>
      <c r="F15" s="122"/>
    </row>
    <row r="16" spans="1:10">
      <c r="A16" s="121" t="s">
        <v>90</v>
      </c>
      <c r="B16" s="122"/>
      <c r="C16" s="123"/>
      <c r="D16" s="122">
        <f t="shared" si="1"/>
        <v>0</v>
      </c>
      <c r="E16" s="122">
        <f t="shared" si="0"/>
        <v>0</v>
      </c>
      <c r="F16" s="122"/>
    </row>
    <row r="17" spans="1:6">
      <c r="A17" s="121" t="s">
        <v>91</v>
      </c>
      <c r="B17" s="122"/>
      <c r="C17" s="122"/>
      <c r="D17" s="122">
        <f t="shared" si="1"/>
        <v>0</v>
      </c>
      <c r="E17" s="122">
        <f t="shared" si="0"/>
        <v>0</v>
      </c>
      <c r="F17" s="122"/>
    </row>
    <row r="18" spans="1:6">
      <c r="A18" s="129" t="s">
        <v>92</v>
      </c>
      <c r="B18" s="130"/>
      <c r="C18" s="130"/>
      <c r="D18" s="122">
        <f t="shared" si="1"/>
        <v>0</v>
      </c>
      <c r="E18" s="122">
        <f t="shared" si="0"/>
        <v>0</v>
      </c>
      <c r="F18" s="122"/>
    </row>
    <row r="19" spans="1:6" ht="24.75" thickBot="1">
      <c r="A19" s="131" t="s">
        <v>36</v>
      </c>
      <c r="B19" s="132">
        <f>SUM(B8:B18)</f>
        <v>94000</v>
      </c>
      <c r="C19" s="132">
        <f>SUM(C8:C18)</f>
        <v>0</v>
      </c>
      <c r="D19" s="132">
        <f>SUM(D8:D18)</f>
        <v>94000</v>
      </c>
      <c r="E19" s="132">
        <f>SUM(E8:E18)</f>
        <v>83329.289999999994</v>
      </c>
      <c r="F19" s="132">
        <f>SUM(F8:F18)</f>
        <v>83329.289999999994</v>
      </c>
    </row>
    <row r="20" spans="1:6" ht="24.75" thickTop="1"/>
    <row r="21" spans="1:6">
      <c r="B21" s="112"/>
      <c r="C21" s="112"/>
      <c r="D21" s="112"/>
    </row>
    <row r="22" spans="1:6">
      <c r="B22" s="112"/>
    </row>
    <row r="23" spans="1:6">
      <c r="B23" s="112"/>
      <c r="C23" s="133"/>
      <c r="D23" s="133"/>
    </row>
    <row r="24" spans="1:6">
      <c r="B24" s="112"/>
    </row>
    <row r="25" spans="1:6">
      <c r="B25" s="112"/>
    </row>
    <row r="26" spans="1:6">
      <c r="B26" s="112"/>
    </row>
    <row r="28" spans="1:6">
      <c r="B28" s="112"/>
    </row>
  </sheetData>
  <mergeCells count="4">
    <mergeCell ref="A1:F1"/>
    <mergeCell ref="A2:F2"/>
    <mergeCell ref="A3:F3"/>
    <mergeCell ref="A4:F4"/>
  </mergeCells>
  <phoneticPr fontId="52" type="noConversion"/>
  <printOptions horizontalCentered="1"/>
  <pageMargins left="0.55118110236220474" right="0.55118110236220474" top="0.39370078740157483" bottom="0.19685039370078741" header="0.51181102362204722" footer="0.51181102362204722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15" sqref="I15"/>
    </sheetView>
  </sheetViews>
  <sheetFormatPr defaultRowHeight="24"/>
  <cols>
    <col min="1" max="1" width="39.28515625" style="114" customWidth="1"/>
    <col min="2" max="3" width="18.28515625" style="114" hidden="1" customWidth="1"/>
    <col min="4" max="6" width="29.7109375" style="114" customWidth="1"/>
    <col min="7" max="7" width="9.140625" style="114"/>
    <col min="8" max="8" width="14.5703125" style="114" customWidth="1"/>
    <col min="9" max="9" width="1.85546875" style="114" customWidth="1"/>
    <col min="10" max="10" width="10.5703125" style="114" customWidth="1"/>
    <col min="11" max="16384" width="9.140625" style="114"/>
  </cols>
  <sheetData>
    <row r="1" spans="1:9" ht="27.75">
      <c r="A1" s="339" t="s">
        <v>0</v>
      </c>
      <c r="B1" s="339"/>
      <c r="C1" s="339"/>
      <c r="D1" s="339"/>
      <c r="E1" s="339"/>
      <c r="F1" s="339"/>
    </row>
    <row r="2" spans="1:9" ht="27.75">
      <c r="A2" s="339" t="s">
        <v>70</v>
      </c>
      <c r="B2" s="339"/>
      <c r="C2" s="339"/>
      <c r="D2" s="339"/>
      <c r="E2" s="339"/>
      <c r="F2" s="339"/>
    </row>
    <row r="3" spans="1:9" ht="27.75">
      <c r="A3" s="339" t="s">
        <v>174</v>
      </c>
      <c r="B3" s="339"/>
      <c r="C3" s="339"/>
      <c r="D3" s="339"/>
      <c r="E3" s="339"/>
      <c r="F3" s="339"/>
    </row>
    <row r="4" spans="1:9" ht="27.75">
      <c r="A4" s="340" t="s">
        <v>286</v>
      </c>
      <c r="B4" s="340"/>
      <c r="C4" s="340"/>
      <c r="D4" s="340"/>
      <c r="E4" s="340"/>
      <c r="F4" s="340"/>
    </row>
    <row r="5" spans="1:9" ht="27.75">
      <c r="A5" s="115"/>
      <c r="B5" s="115"/>
      <c r="C5" s="115"/>
      <c r="D5" s="115"/>
      <c r="E5" s="115"/>
      <c r="F5" s="115"/>
    </row>
    <row r="6" spans="1:9" s="119" customFormat="1" ht="48">
      <c r="A6" s="116" t="s">
        <v>76</v>
      </c>
      <c r="B6" s="116" t="s">
        <v>77</v>
      </c>
      <c r="C6" s="116" t="s">
        <v>78</v>
      </c>
      <c r="D6" s="116" t="s">
        <v>77</v>
      </c>
      <c r="E6" s="116" t="s">
        <v>36</v>
      </c>
      <c r="F6" s="116" t="s">
        <v>82</v>
      </c>
    </row>
    <row r="7" spans="1:9">
      <c r="A7" s="120" t="s">
        <v>81</v>
      </c>
      <c r="B7" s="121"/>
      <c r="C7" s="121"/>
      <c r="D7" s="121"/>
      <c r="E7" s="121"/>
      <c r="F7" s="121"/>
    </row>
    <row r="8" spans="1:9">
      <c r="A8" s="121" t="s">
        <v>82</v>
      </c>
      <c r="B8" s="122">
        <v>1694530</v>
      </c>
      <c r="C8" s="122">
        <v>-57500</v>
      </c>
      <c r="D8" s="122">
        <f>B8+C8</f>
        <v>1637030</v>
      </c>
      <c r="E8" s="122">
        <f t="shared" ref="E8:E18" si="0">SUM(F8:F8)</f>
        <v>770694</v>
      </c>
      <c r="F8" s="122">
        <v>770694</v>
      </c>
      <c r="H8" s="3"/>
      <c r="I8" s="3"/>
    </row>
    <row r="9" spans="1:9">
      <c r="A9" s="121" t="s">
        <v>83</v>
      </c>
      <c r="B9" s="122"/>
      <c r="C9" s="122"/>
      <c r="D9" s="122"/>
      <c r="E9" s="122">
        <f t="shared" si="0"/>
        <v>0</v>
      </c>
      <c r="F9" s="122"/>
      <c r="H9" s="3"/>
      <c r="I9" s="3"/>
    </row>
    <row r="10" spans="1:9">
      <c r="A10" s="121" t="s">
        <v>84</v>
      </c>
      <c r="B10" s="122"/>
      <c r="C10" s="123"/>
      <c r="D10" s="122"/>
      <c r="E10" s="122">
        <f t="shared" si="0"/>
        <v>0</v>
      </c>
      <c r="F10" s="122"/>
      <c r="H10" s="3"/>
      <c r="I10" s="3"/>
    </row>
    <row r="11" spans="1:9">
      <c r="A11" s="121" t="s">
        <v>85</v>
      </c>
      <c r="B11" s="122"/>
      <c r="C11" s="123"/>
      <c r="D11" s="122"/>
      <c r="E11" s="122">
        <f t="shared" si="0"/>
        <v>0</v>
      </c>
      <c r="F11" s="122"/>
      <c r="H11" s="4"/>
      <c r="I11" s="3"/>
    </row>
    <row r="12" spans="1:9">
      <c r="A12" s="121" t="s">
        <v>86</v>
      </c>
      <c r="B12" s="122"/>
      <c r="C12" s="123"/>
      <c r="D12" s="122"/>
      <c r="E12" s="122">
        <f t="shared" si="0"/>
        <v>0</v>
      </c>
      <c r="F12" s="122"/>
      <c r="H12" s="4"/>
      <c r="I12" s="4"/>
    </row>
    <row r="13" spans="1:9">
      <c r="A13" s="121" t="s">
        <v>87</v>
      </c>
      <c r="B13" s="122"/>
      <c r="C13" s="123"/>
      <c r="D13" s="122"/>
      <c r="E13" s="122">
        <f t="shared" si="0"/>
        <v>0</v>
      </c>
      <c r="F13" s="122"/>
    </row>
    <row r="14" spans="1:9">
      <c r="A14" s="121" t="s">
        <v>88</v>
      </c>
      <c r="B14" s="122"/>
      <c r="C14" s="123"/>
      <c r="D14" s="122"/>
      <c r="E14" s="122">
        <f t="shared" si="0"/>
        <v>0</v>
      </c>
      <c r="F14" s="122"/>
      <c r="H14" s="3"/>
      <c r="I14" s="3"/>
    </row>
    <row r="15" spans="1:9">
      <c r="A15" s="121" t="s">
        <v>89</v>
      </c>
      <c r="B15" s="122"/>
      <c r="C15" s="123"/>
      <c r="D15" s="122"/>
      <c r="E15" s="122">
        <f t="shared" si="0"/>
        <v>0</v>
      </c>
      <c r="F15" s="122"/>
      <c r="H15" s="160"/>
      <c r="I15" s="160"/>
    </row>
    <row r="16" spans="1:9">
      <c r="A16" s="121" t="s">
        <v>90</v>
      </c>
      <c r="B16" s="122"/>
      <c r="C16" s="123"/>
      <c r="D16" s="122"/>
      <c r="E16" s="122">
        <f t="shared" si="0"/>
        <v>0</v>
      </c>
      <c r="F16" s="122"/>
    </row>
    <row r="17" spans="1:6">
      <c r="A17" s="121" t="s">
        <v>91</v>
      </c>
      <c r="B17" s="122"/>
      <c r="C17" s="122"/>
      <c r="D17" s="122"/>
      <c r="E17" s="122">
        <f t="shared" si="0"/>
        <v>0</v>
      </c>
      <c r="F17" s="122"/>
    </row>
    <row r="18" spans="1:6">
      <c r="A18" s="129" t="s">
        <v>92</v>
      </c>
      <c r="B18" s="130"/>
      <c r="C18" s="130"/>
      <c r="D18" s="122"/>
      <c r="E18" s="122">
        <f t="shared" si="0"/>
        <v>0</v>
      </c>
      <c r="F18" s="122"/>
    </row>
    <row r="19" spans="1:6" ht="24.75" thickBot="1">
      <c r="A19" s="131" t="s">
        <v>36</v>
      </c>
      <c r="B19" s="132">
        <f>SUM(B8:B18)</f>
        <v>1694530</v>
      </c>
      <c r="C19" s="132">
        <f>SUM(C8:C18)</f>
        <v>-57500</v>
      </c>
      <c r="D19" s="132">
        <f>SUM(D8:D18)</f>
        <v>1637030</v>
      </c>
      <c r="E19" s="132">
        <f>SUM(E8:E18)</f>
        <v>770694</v>
      </c>
      <c r="F19" s="132">
        <f>SUM(F8:F18)</f>
        <v>770694</v>
      </c>
    </row>
    <row r="20" spans="1:6" ht="24.75" thickTop="1"/>
    <row r="21" spans="1:6">
      <c r="B21" s="112"/>
      <c r="C21" s="112"/>
      <c r="D21" s="112"/>
    </row>
    <row r="22" spans="1:6">
      <c r="B22" s="112"/>
    </row>
    <row r="23" spans="1:6">
      <c r="B23" s="112"/>
      <c r="C23" s="133"/>
      <c r="D23" s="133"/>
    </row>
    <row r="24" spans="1:6">
      <c r="B24" s="112"/>
    </row>
    <row r="25" spans="1:6">
      <c r="B25" s="112"/>
    </row>
    <row r="26" spans="1:6">
      <c r="B26" s="112"/>
    </row>
    <row r="28" spans="1:6">
      <c r="B28" s="112"/>
    </row>
  </sheetData>
  <mergeCells count="4">
    <mergeCell ref="A1:F1"/>
    <mergeCell ref="A2:F2"/>
    <mergeCell ref="A3:F3"/>
    <mergeCell ref="A4:F4"/>
  </mergeCells>
  <phoneticPr fontId="52" type="noConversion"/>
  <printOptions horizontalCentered="1"/>
  <pageMargins left="0.55118110236220474" right="0.55118110236220474" top="0.5" bottom="0.19685039370078741" header="0.51181102362204722" footer="0.51181102362204722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22" zoomScale="120" zoomScaleNormal="120" workbookViewId="0">
      <selection activeCell="I15" sqref="I15"/>
    </sheetView>
  </sheetViews>
  <sheetFormatPr defaultRowHeight="24"/>
  <cols>
    <col min="1" max="1" width="9.140625" style="1"/>
    <col min="2" max="2" width="14.7109375" style="1" customWidth="1"/>
    <col min="3" max="3" width="11" style="1" bestFit="1" customWidth="1"/>
    <col min="4" max="4" width="12.7109375" style="1" bestFit="1" customWidth="1"/>
    <col min="5" max="7" width="11" style="1" bestFit="1" customWidth="1"/>
    <col min="8" max="8" width="11.7109375" style="1" customWidth="1"/>
    <col min="9" max="9" width="13.7109375" style="1" customWidth="1"/>
    <col min="10" max="10" width="12.140625" style="1" bestFit="1" customWidth="1"/>
    <col min="11" max="11" width="11.140625" style="1" customWidth="1"/>
    <col min="12" max="16384" width="9.140625" style="1"/>
  </cols>
  <sheetData>
    <row r="1" spans="1:11">
      <c r="A1" s="12"/>
      <c r="B1" s="217" t="s">
        <v>302</v>
      </c>
      <c r="C1" s="217" t="s">
        <v>289</v>
      </c>
      <c r="D1" s="217" t="s">
        <v>303</v>
      </c>
      <c r="E1" s="217" t="s">
        <v>304</v>
      </c>
      <c r="F1" s="217" t="s">
        <v>305</v>
      </c>
      <c r="G1" s="217" t="s">
        <v>306</v>
      </c>
      <c r="H1" s="217" t="s">
        <v>307</v>
      </c>
      <c r="I1" s="218" t="s">
        <v>36</v>
      </c>
    </row>
    <row r="2" spans="1:11">
      <c r="A2" s="12" t="s">
        <v>290</v>
      </c>
      <c r="B2" s="219">
        <v>2400</v>
      </c>
      <c r="C2" s="219">
        <v>1950</v>
      </c>
      <c r="D2" s="219">
        <v>2300</v>
      </c>
      <c r="E2" s="219"/>
      <c r="F2" s="219"/>
      <c r="G2" s="219"/>
      <c r="H2" s="219">
        <v>2400</v>
      </c>
      <c r="I2" s="219">
        <f>SUM(B2:H2)</f>
        <v>9050</v>
      </c>
      <c r="J2" s="3">
        <v>9050</v>
      </c>
    </row>
    <row r="3" spans="1:11">
      <c r="A3" s="12" t="s">
        <v>291</v>
      </c>
      <c r="B3" s="219">
        <v>3420</v>
      </c>
      <c r="C3" s="219">
        <v>7572</v>
      </c>
      <c r="D3" s="219">
        <v>12300</v>
      </c>
      <c r="E3" s="219"/>
      <c r="F3" s="219"/>
      <c r="G3" s="219"/>
      <c r="H3" s="219">
        <v>4521</v>
      </c>
      <c r="I3" s="219">
        <f t="shared" ref="I3:I13" si="0">SUM(B3:H3)</f>
        <v>27813</v>
      </c>
      <c r="J3" s="3">
        <v>700</v>
      </c>
    </row>
    <row r="4" spans="1:11">
      <c r="A4" s="12" t="s">
        <v>292</v>
      </c>
      <c r="B4" s="219">
        <v>9593</v>
      </c>
      <c r="C4" s="219">
        <v>2540</v>
      </c>
      <c r="D4" s="219">
        <v>11940</v>
      </c>
      <c r="E4" s="219">
        <v>3900</v>
      </c>
      <c r="F4" s="219"/>
      <c r="G4" s="219"/>
      <c r="H4" s="219">
        <v>2400</v>
      </c>
      <c r="I4" s="219">
        <f t="shared" si="0"/>
        <v>30373</v>
      </c>
      <c r="J4" s="3">
        <v>57486</v>
      </c>
    </row>
    <row r="5" spans="1:11">
      <c r="A5" s="12" t="s">
        <v>293</v>
      </c>
      <c r="B5" s="219">
        <v>4080</v>
      </c>
      <c r="C5" s="219">
        <v>1950</v>
      </c>
      <c r="D5" s="219">
        <v>13820</v>
      </c>
      <c r="E5" s="219">
        <v>1950</v>
      </c>
      <c r="F5" s="219"/>
      <c r="G5" s="219">
        <v>5880</v>
      </c>
      <c r="H5" s="219">
        <v>2400</v>
      </c>
      <c r="I5" s="219">
        <f t="shared" si="0"/>
        <v>30080</v>
      </c>
      <c r="J5" s="3">
        <v>14180</v>
      </c>
    </row>
    <row r="6" spans="1:11">
      <c r="A6" s="12" t="s">
        <v>294</v>
      </c>
      <c r="B6" s="219">
        <v>3780</v>
      </c>
      <c r="C6" s="219">
        <v>2730</v>
      </c>
      <c r="D6" s="219">
        <v>12020</v>
      </c>
      <c r="E6" s="219">
        <v>1950</v>
      </c>
      <c r="F6" s="219"/>
      <c r="G6" s="219"/>
      <c r="H6" s="219">
        <v>2400</v>
      </c>
      <c r="I6" s="219">
        <f t="shared" si="0"/>
        <v>22880</v>
      </c>
      <c r="J6" s="3">
        <v>25880</v>
      </c>
    </row>
    <row r="7" spans="1:11">
      <c r="A7" s="12" t="s">
        <v>295</v>
      </c>
      <c r="B7" s="219">
        <v>13171</v>
      </c>
      <c r="C7" s="219">
        <v>810</v>
      </c>
      <c r="D7" s="219">
        <v>11800</v>
      </c>
      <c r="E7" s="219">
        <v>3450</v>
      </c>
      <c r="F7" s="219">
        <v>26052</v>
      </c>
      <c r="G7" s="219">
        <v>1680</v>
      </c>
      <c r="H7" s="219">
        <v>3100</v>
      </c>
      <c r="I7" s="219">
        <f t="shared" si="0"/>
        <v>60063</v>
      </c>
      <c r="J7" s="3">
        <v>59361</v>
      </c>
    </row>
    <row r="8" spans="1:11">
      <c r="A8" s="12" t="s">
        <v>296</v>
      </c>
      <c r="B8" s="219">
        <v>3660</v>
      </c>
      <c r="C8" s="219">
        <v>3900</v>
      </c>
      <c r="D8" s="219">
        <v>25440</v>
      </c>
      <c r="E8" s="219">
        <v>1950</v>
      </c>
      <c r="F8" s="219"/>
      <c r="G8" s="219">
        <v>2100</v>
      </c>
      <c r="H8" s="219">
        <v>2400</v>
      </c>
      <c r="I8" s="219">
        <f t="shared" si="0"/>
        <v>39450</v>
      </c>
      <c r="J8" s="3">
        <v>49499</v>
      </c>
    </row>
    <row r="9" spans="1:11">
      <c r="A9" s="12" t="s">
        <v>297</v>
      </c>
      <c r="B9" s="219">
        <v>5082</v>
      </c>
      <c r="C9" s="219">
        <v>2890</v>
      </c>
      <c r="D9" s="219">
        <v>12200</v>
      </c>
      <c r="E9" s="219">
        <v>5156</v>
      </c>
      <c r="F9" s="219">
        <f>7800+5850</f>
        <v>13650</v>
      </c>
      <c r="G9" s="219"/>
      <c r="H9" s="219">
        <v>2400</v>
      </c>
      <c r="I9" s="219">
        <f t="shared" si="0"/>
        <v>41378</v>
      </c>
      <c r="J9" s="3">
        <v>37152</v>
      </c>
    </row>
    <row r="10" spans="1:11">
      <c r="A10" s="12" t="s">
        <v>298</v>
      </c>
      <c r="B10" s="219">
        <v>12041</v>
      </c>
      <c r="C10" s="219">
        <v>8270</v>
      </c>
      <c r="D10" s="219">
        <v>12440</v>
      </c>
      <c r="E10" s="219">
        <v>1950</v>
      </c>
      <c r="F10" s="219">
        <v>5467</v>
      </c>
      <c r="G10" s="219">
        <v>5793</v>
      </c>
      <c r="H10" s="219">
        <v>2400</v>
      </c>
      <c r="I10" s="219">
        <f t="shared" si="0"/>
        <v>48361</v>
      </c>
      <c r="J10" s="3">
        <v>30847</v>
      </c>
    </row>
    <row r="11" spans="1:11">
      <c r="A11" s="12" t="s">
        <v>299</v>
      </c>
      <c r="B11" s="219">
        <v>7318</v>
      </c>
      <c r="C11" s="219">
        <v>13021</v>
      </c>
      <c r="D11" s="219">
        <v>12040</v>
      </c>
      <c r="E11" s="219">
        <v>1950</v>
      </c>
      <c r="F11" s="219"/>
      <c r="G11" s="219">
        <v>1680</v>
      </c>
      <c r="H11" s="219">
        <v>2400</v>
      </c>
      <c r="I11" s="219">
        <f t="shared" si="0"/>
        <v>38409</v>
      </c>
      <c r="J11" s="3">
        <v>60129</v>
      </c>
    </row>
    <row r="12" spans="1:11">
      <c r="A12" s="12" t="s">
        <v>300</v>
      </c>
      <c r="B12" s="219">
        <v>14531.5</v>
      </c>
      <c r="C12" s="219">
        <v>3040</v>
      </c>
      <c r="D12" s="219">
        <v>3000</v>
      </c>
      <c r="E12" s="219">
        <v>7622</v>
      </c>
      <c r="F12" s="219">
        <v>550</v>
      </c>
      <c r="G12" s="219"/>
      <c r="H12" s="219">
        <v>3730</v>
      </c>
      <c r="I12" s="219">
        <f t="shared" si="0"/>
        <v>32473.5</v>
      </c>
      <c r="J12" s="3">
        <v>16873.5</v>
      </c>
    </row>
    <row r="13" spans="1:11">
      <c r="A13" s="12" t="s">
        <v>301</v>
      </c>
      <c r="B13" s="219">
        <v>5795</v>
      </c>
      <c r="C13" s="219">
        <f>11665+1950</f>
        <v>13615</v>
      </c>
      <c r="D13" s="219">
        <v>13200</v>
      </c>
      <c r="E13" s="219">
        <v>5674</v>
      </c>
      <c r="F13" s="219">
        <v>6236</v>
      </c>
      <c r="G13" s="219"/>
      <c r="H13" s="219">
        <v>2400</v>
      </c>
      <c r="I13" s="219">
        <f t="shared" si="0"/>
        <v>46920</v>
      </c>
      <c r="J13" s="3">
        <v>70320</v>
      </c>
    </row>
    <row r="14" spans="1:11">
      <c r="A14" s="12"/>
      <c r="B14" s="220">
        <f>SUM(B2:B13)</f>
        <v>84871.5</v>
      </c>
      <c r="C14" s="220">
        <f t="shared" ref="C14:I14" si="1">SUM(C2:C13)</f>
        <v>62288</v>
      </c>
      <c r="D14" s="220">
        <f t="shared" si="1"/>
        <v>142500</v>
      </c>
      <c r="E14" s="220">
        <f t="shared" si="1"/>
        <v>35552</v>
      </c>
      <c r="F14" s="220">
        <f t="shared" si="1"/>
        <v>51955</v>
      </c>
      <c r="G14" s="220">
        <f t="shared" si="1"/>
        <v>17133</v>
      </c>
      <c r="H14" s="220">
        <f t="shared" si="1"/>
        <v>32951</v>
      </c>
      <c r="I14" s="220">
        <f t="shared" si="1"/>
        <v>427250.5</v>
      </c>
      <c r="J14" s="221">
        <f>SUM(J2:J13)</f>
        <v>431477.5</v>
      </c>
      <c r="K14" s="144">
        <f>I14-J14</f>
        <v>-4227</v>
      </c>
    </row>
    <row r="15" spans="1:11">
      <c r="A15" s="6"/>
      <c r="B15" s="224"/>
      <c r="C15" s="224"/>
      <c r="D15" s="224"/>
      <c r="E15" s="224"/>
      <c r="F15" s="224"/>
      <c r="G15" s="224"/>
      <c r="H15" s="224"/>
      <c r="I15" s="224"/>
      <c r="J15" s="221"/>
      <c r="K15" s="144"/>
    </row>
    <row r="16" spans="1:11">
      <c r="A16" s="6"/>
      <c r="B16" s="224"/>
      <c r="C16" s="224"/>
      <c r="D16" s="224"/>
      <c r="E16" s="224"/>
      <c r="F16" s="224"/>
      <c r="G16" s="224"/>
      <c r="H16" s="224"/>
      <c r="I16" s="224"/>
      <c r="J16" s="221"/>
      <c r="K16" s="144"/>
    </row>
    <row r="17" spans="1:11">
      <c r="A17" s="6"/>
      <c r="B17" s="224"/>
      <c r="C17" s="224"/>
      <c r="D17" s="224"/>
      <c r="E17" s="224"/>
      <c r="F17" s="224"/>
      <c r="G17" s="224"/>
      <c r="H17" s="224"/>
      <c r="I17" s="224"/>
      <c r="J17" s="221"/>
      <c r="K17" s="144"/>
    </row>
    <row r="18" spans="1:11">
      <c r="A18" s="6"/>
      <c r="B18" s="224"/>
      <c r="C18" s="224"/>
      <c r="D18" s="224"/>
      <c r="E18" s="224"/>
      <c r="F18" s="224"/>
      <c r="G18" s="224"/>
      <c r="H18" s="224"/>
      <c r="I18" s="224"/>
      <c r="J18" s="221"/>
      <c r="K18" s="144"/>
    </row>
    <row r="19" spans="1:11">
      <c r="A19" s="6"/>
      <c r="B19" s="224"/>
      <c r="C19" s="224"/>
      <c r="D19" s="224"/>
      <c r="E19" s="224"/>
      <c r="F19" s="224"/>
      <c r="G19" s="224"/>
      <c r="H19" s="224"/>
      <c r="I19" s="224"/>
      <c r="J19" s="221"/>
      <c r="K19" s="144"/>
    </row>
    <row r="20" spans="1:11">
      <c r="A20" s="6"/>
      <c r="B20" s="224"/>
      <c r="C20" s="224"/>
      <c r="D20" s="224"/>
      <c r="E20" s="224"/>
      <c r="F20" s="224"/>
      <c r="G20" s="224"/>
      <c r="H20" s="224"/>
      <c r="I20" s="224"/>
      <c r="J20" s="221"/>
      <c r="K20" s="144"/>
    </row>
    <row r="21" spans="1:11">
      <c r="A21" s="6"/>
      <c r="B21" s="224"/>
      <c r="C21" s="224"/>
      <c r="D21" s="224"/>
      <c r="E21" s="224"/>
      <c r="F21" s="224"/>
      <c r="G21" s="224"/>
      <c r="H21" s="224"/>
      <c r="I21" s="224"/>
      <c r="J21" s="221"/>
      <c r="K21" s="144"/>
    </row>
    <row r="22" spans="1:11">
      <c r="A22" s="6"/>
      <c r="B22" s="224"/>
      <c r="C22" s="224"/>
      <c r="D22" s="224"/>
      <c r="E22" s="224"/>
      <c r="F22" s="224"/>
      <c r="G22" s="224"/>
      <c r="H22" s="224"/>
      <c r="I22" s="224"/>
      <c r="J22" s="221"/>
      <c r="K22" s="144"/>
    </row>
    <row r="23" spans="1:11">
      <c r="A23" s="6"/>
      <c r="B23" s="224"/>
      <c r="C23" s="224"/>
      <c r="D23" s="224"/>
      <c r="E23" s="224"/>
      <c r="F23" s="224"/>
      <c r="G23" s="224"/>
      <c r="H23" s="224"/>
      <c r="I23" s="224"/>
      <c r="J23" s="221"/>
      <c r="K23" s="144"/>
    </row>
    <row r="24" spans="1:11">
      <c r="A24" s="6"/>
      <c r="B24" s="224"/>
      <c r="C24" s="224"/>
      <c r="D24" s="224"/>
      <c r="E24" s="224"/>
      <c r="F24" s="224"/>
      <c r="G24" s="224"/>
      <c r="H24" s="224"/>
      <c r="I24" s="224"/>
      <c r="J24" s="221"/>
      <c r="K24" s="144"/>
    </row>
    <row r="26" spans="1:11">
      <c r="A26" s="222"/>
      <c r="B26" s="223" t="s">
        <v>324</v>
      </c>
      <c r="C26" s="223" t="s">
        <v>322</v>
      </c>
      <c r="D26" s="223" t="s">
        <v>121</v>
      </c>
      <c r="E26" s="223" t="s">
        <v>122</v>
      </c>
      <c r="F26" s="223" t="s">
        <v>125</v>
      </c>
      <c r="G26" s="223" t="s">
        <v>323</v>
      </c>
      <c r="H26" s="223" t="s">
        <v>128</v>
      </c>
      <c r="I26" s="222"/>
    </row>
    <row r="27" spans="1:11">
      <c r="A27" s="12"/>
      <c r="B27" s="217" t="s">
        <v>302</v>
      </c>
      <c r="C27" s="217" t="s">
        <v>289</v>
      </c>
      <c r="D27" s="217" t="s">
        <v>303</v>
      </c>
      <c r="E27" s="217" t="s">
        <v>304</v>
      </c>
      <c r="F27" s="217" t="s">
        <v>305</v>
      </c>
      <c r="G27" s="217" t="s">
        <v>306</v>
      </c>
      <c r="H27" s="217" t="s">
        <v>307</v>
      </c>
      <c r="I27" s="218" t="s">
        <v>36</v>
      </c>
    </row>
    <row r="28" spans="1:11">
      <c r="A28" s="12" t="s">
        <v>290</v>
      </c>
      <c r="B28" s="219">
        <v>2400</v>
      </c>
      <c r="C28" s="219">
        <v>1950</v>
      </c>
      <c r="D28" s="219">
        <v>2300</v>
      </c>
      <c r="E28" s="219"/>
      <c r="F28" s="219"/>
      <c r="G28" s="219"/>
      <c r="H28" s="219">
        <v>2400</v>
      </c>
      <c r="I28" s="219">
        <f>SUM(B28:H28)</f>
        <v>9050</v>
      </c>
      <c r="J28" s="3">
        <v>9050</v>
      </c>
      <c r="K28" s="144">
        <f>I28-J28</f>
        <v>0</v>
      </c>
    </row>
    <row r="29" spans="1:11" hidden="1">
      <c r="A29" s="12" t="s">
        <v>291</v>
      </c>
      <c r="B29" s="219"/>
      <c r="C29" s="219">
        <v>700</v>
      </c>
      <c r="D29" s="219"/>
      <c r="E29" s="219"/>
      <c r="F29" s="219"/>
      <c r="G29" s="219"/>
      <c r="H29" s="219"/>
      <c r="I29" s="219">
        <f t="shared" ref="I29:I39" si="2">SUM(B29:H29)</f>
        <v>700</v>
      </c>
      <c r="J29" s="3">
        <v>700</v>
      </c>
      <c r="K29" s="144">
        <f t="shared" ref="K29:K40" si="3">I29-J29</f>
        <v>0</v>
      </c>
    </row>
    <row r="30" spans="1:11" hidden="1">
      <c r="A30" s="12" t="s">
        <v>292</v>
      </c>
      <c r="B30" s="219">
        <v>13013</v>
      </c>
      <c r="C30" s="219">
        <v>9412</v>
      </c>
      <c r="D30" s="219">
        <v>24240</v>
      </c>
      <c r="E30" s="219">
        <v>3900</v>
      </c>
      <c r="F30" s="219"/>
      <c r="G30" s="219"/>
      <c r="H30" s="219">
        <f>4521+2400</f>
        <v>6921</v>
      </c>
      <c r="I30" s="219">
        <f t="shared" si="2"/>
        <v>57486</v>
      </c>
      <c r="J30" s="3">
        <v>57486</v>
      </c>
      <c r="K30" s="144">
        <f t="shared" si="3"/>
        <v>0</v>
      </c>
    </row>
    <row r="31" spans="1:11" hidden="1">
      <c r="A31" s="12" t="s">
        <v>293</v>
      </c>
      <c r="B31" s="219"/>
      <c r="C31" s="219"/>
      <c r="D31" s="219">
        <v>10400</v>
      </c>
      <c r="E31" s="219"/>
      <c r="F31" s="219"/>
      <c r="G31" s="219">
        <v>3780</v>
      </c>
      <c r="H31" s="219"/>
      <c r="I31" s="219">
        <f t="shared" si="2"/>
        <v>14180</v>
      </c>
      <c r="J31" s="3">
        <v>14180</v>
      </c>
      <c r="K31" s="144">
        <f t="shared" si="3"/>
        <v>0</v>
      </c>
    </row>
    <row r="32" spans="1:11">
      <c r="A32" s="12" t="s">
        <v>294</v>
      </c>
      <c r="B32" s="219">
        <f>2400+1680+120</f>
        <v>4200</v>
      </c>
      <c r="C32" s="219">
        <f>1950+780</f>
        <v>2730</v>
      </c>
      <c r="D32" s="219">
        <f>3000+420+3000</f>
        <v>6420</v>
      </c>
      <c r="E32" s="219">
        <v>1950</v>
      </c>
      <c r="F32" s="219"/>
      <c r="G32" s="219">
        <v>2100</v>
      </c>
      <c r="H32" s="219">
        <v>4800</v>
      </c>
      <c r="I32" s="219">
        <f t="shared" si="2"/>
        <v>22200</v>
      </c>
      <c r="J32" s="3">
        <v>25880</v>
      </c>
      <c r="K32" s="144">
        <f t="shared" si="3"/>
        <v>-3680</v>
      </c>
    </row>
    <row r="33" spans="1:11">
      <c r="A33" s="12" t="s">
        <v>295</v>
      </c>
      <c r="B33" s="219">
        <f>2400+1260+2719+4906+1290</f>
        <v>12575</v>
      </c>
      <c r="C33" s="219">
        <f>1950+810+3531</f>
        <v>6291</v>
      </c>
      <c r="D33" s="219">
        <f>8600+420+8800</f>
        <v>17820</v>
      </c>
      <c r="E33" s="219">
        <f>1950</f>
        <v>1950</v>
      </c>
      <c r="F33" s="219">
        <v>19045</v>
      </c>
      <c r="G33" s="219">
        <v>1680</v>
      </c>
      <c r="H33" s="219"/>
      <c r="I33" s="219">
        <f t="shared" si="2"/>
        <v>59361</v>
      </c>
      <c r="J33" s="3">
        <v>59361</v>
      </c>
      <c r="K33" s="144">
        <f t="shared" si="3"/>
        <v>0</v>
      </c>
    </row>
    <row r="34" spans="1:11">
      <c r="A34" s="12" t="s">
        <v>296</v>
      </c>
      <c r="B34" s="219">
        <f>2400+813+1043+1260+2400</f>
        <v>7916</v>
      </c>
      <c r="C34" s="219">
        <v>3900</v>
      </c>
      <c r="D34" s="219">
        <f>3000+12600+3000</f>
        <v>18600</v>
      </c>
      <c r="E34" s="219">
        <f>1950+1950</f>
        <v>3900</v>
      </c>
      <c r="F34" s="219">
        <v>6743</v>
      </c>
      <c r="G34" s="219">
        <f>2100+840</f>
        <v>2940</v>
      </c>
      <c r="H34" s="219">
        <f>3100+2400</f>
        <v>5500</v>
      </c>
      <c r="I34" s="219">
        <f t="shared" si="2"/>
        <v>49499</v>
      </c>
      <c r="J34" s="3">
        <v>49499</v>
      </c>
      <c r="K34" s="144">
        <f t="shared" si="3"/>
        <v>0</v>
      </c>
    </row>
    <row r="35" spans="1:11">
      <c r="A35" s="12" t="s">
        <v>297</v>
      </c>
      <c r="B35" s="219">
        <v>5082</v>
      </c>
      <c r="C35" s="219">
        <v>2890</v>
      </c>
      <c r="D35" s="219">
        <v>21200</v>
      </c>
      <c r="E35" s="219">
        <v>1950</v>
      </c>
      <c r="F35" s="219">
        <v>3630</v>
      </c>
      <c r="G35" s="219"/>
      <c r="H35" s="219">
        <v>2400</v>
      </c>
      <c r="I35" s="219">
        <f t="shared" si="2"/>
        <v>37152</v>
      </c>
      <c r="J35" s="3">
        <v>37152</v>
      </c>
      <c r="K35" s="144">
        <f t="shared" si="3"/>
        <v>0</v>
      </c>
    </row>
    <row r="36" spans="1:11">
      <c r="A36" s="12" t="s">
        <v>298</v>
      </c>
      <c r="B36" s="219">
        <v>7691</v>
      </c>
      <c r="C36" s="219">
        <v>8270</v>
      </c>
      <c r="D36" s="219">
        <v>9440</v>
      </c>
      <c r="E36" s="219">
        <v>3206</v>
      </c>
      <c r="F36" s="219"/>
      <c r="G36" s="219">
        <v>2240</v>
      </c>
      <c r="H36" s="219"/>
      <c r="I36" s="219">
        <f t="shared" si="2"/>
        <v>30847</v>
      </c>
      <c r="J36" s="3">
        <v>30847</v>
      </c>
      <c r="K36" s="144">
        <f t="shared" si="3"/>
        <v>0</v>
      </c>
    </row>
    <row r="37" spans="1:11">
      <c r="A37" s="12" t="s">
        <v>299</v>
      </c>
      <c r="B37" s="219">
        <v>11668</v>
      </c>
      <c r="C37" s="219">
        <v>13021</v>
      </c>
      <c r="D37" s="219">
        <v>16040</v>
      </c>
      <c r="E37" s="219">
        <v>3900</v>
      </c>
      <c r="F37" s="219">
        <v>5467</v>
      </c>
      <c r="G37" s="219">
        <v>5233</v>
      </c>
      <c r="H37" s="219">
        <v>4800</v>
      </c>
      <c r="I37" s="219">
        <f t="shared" si="2"/>
        <v>60129</v>
      </c>
      <c r="J37" s="3">
        <v>60129</v>
      </c>
      <c r="K37" s="144">
        <f t="shared" si="3"/>
        <v>0</v>
      </c>
    </row>
    <row r="38" spans="1:11">
      <c r="A38" s="12" t="s">
        <v>300</v>
      </c>
      <c r="B38" s="219">
        <v>8231.5</v>
      </c>
      <c r="C38" s="219">
        <v>1090</v>
      </c>
      <c r="D38" s="219"/>
      <c r="E38" s="219">
        <v>5672</v>
      </c>
      <c r="F38" s="219">
        <v>550</v>
      </c>
      <c r="G38" s="219"/>
      <c r="H38" s="219">
        <v>1330</v>
      </c>
      <c r="I38" s="219">
        <f t="shared" si="2"/>
        <v>16873.5</v>
      </c>
      <c r="J38" s="3">
        <v>16873.5</v>
      </c>
      <c r="K38" s="144">
        <f t="shared" si="3"/>
        <v>0</v>
      </c>
    </row>
    <row r="39" spans="1:11">
      <c r="A39" s="12" t="s">
        <v>301</v>
      </c>
      <c r="B39" s="219">
        <v>13075</v>
      </c>
      <c r="C39" s="219">
        <v>10685</v>
      </c>
      <c r="D39" s="219">
        <v>16200</v>
      </c>
      <c r="E39" s="219">
        <v>7624</v>
      </c>
      <c r="F39" s="219">
        <v>17936</v>
      </c>
      <c r="G39" s="219"/>
      <c r="H39" s="219">
        <v>4800</v>
      </c>
      <c r="I39" s="219">
        <f t="shared" si="2"/>
        <v>70320</v>
      </c>
      <c r="J39" s="3">
        <v>70320</v>
      </c>
      <c r="K39" s="144">
        <f t="shared" si="3"/>
        <v>0</v>
      </c>
    </row>
    <row r="40" spans="1:11">
      <c r="A40" s="12"/>
      <c r="B40" s="220">
        <f>SUM(B28:B39)</f>
        <v>85851.5</v>
      </c>
      <c r="C40" s="220">
        <f t="shared" ref="C40:I40" si="4">SUM(C28:C39)</f>
        <v>60939</v>
      </c>
      <c r="D40" s="220">
        <f t="shared" si="4"/>
        <v>142660</v>
      </c>
      <c r="E40" s="220">
        <f t="shared" si="4"/>
        <v>34052</v>
      </c>
      <c r="F40" s="220">
        <f t="shared" si="4"/>
        <v>53371</v>
      </c>
      <c r="G40" s="220">
        <f t="shared" si="4"/>
        <v>17973</v>
      </c>
      <c r="H40" s="220">
        <f>SUM(H28:H39)</f>
        <v>32951</v>
      </c>
      <c r="I40" s="220">
        <f t="shared" si="4"/>
        <v>427797.5</v>
      </c>
      <c r="J40" s="221">
        <f>SUM(J28:J39)</f>
        <v>431477.5</v>
      </c>
      <c r="K40" s="144">
        <f t="shared" si="3"/>
        <v>-3680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10" zoomScale="120" zoomScaleNormal="120" workbookViewId="0">
      <selection activeCell="I15" sqref="I15"/>
    </sheetView>
  </sheetViews>
  <sheetFormatPr defaultRowHeight="24"/>
  <cols>
    <col min="1" max="1" width="3.5703125" style="1" customWidth="1"/>
    <col min="2" max="2" width="13.7109375" style="1" customWidth="1"/>
    <col min="3" max="3" width="11.5703125" style="1" customWidth="1"/>
    <col min="4" max="4" width="10.7109375" style="1" customWidth="1"/>
    <col min="5" max="5" width="11" style="1" bestFit="1" customWidth="1"/>
    <col min="6" max="6" width="12.140625" style="1" bestFit="1" customWidth="1"/>
    <col min="7" max="8" width="11.7109375" style="1" customWidth="1"/>
    <col min="9" max="9" width="9.5703125" style="1" customWidth="1"/>
    <col min="10" max="10" width="13.28515625" style="1" customWidth="1"/>
    <col min="11" max="11" width="11" style="1" customWidth="1"/>
    <col min="12" max="12" width="11.7109375" style="1" customWidth="1"/>
    <col min="13" max="13" width="13.7109375" style="1" customWidth="1"/>
    <col min="14" max="16384" width="9.140625" style="1"/>
  </cols>
  <sheetData>
    <row r="1" spans="1:14">
      <c r="B1" s="1" t="s">
        <v>86</v>
      </c>
    </row>
    <row r="2" spans="1:14">
      <c r="A2" s="12"/>
      <c r="B2" s="217" t="s">
        <v>310</v>
      </c>
      <c r="C2" s="217" t="s">
        <v>114</v>
      </c>
      <c r="D2" s="217" t="s">
        <v>305</v>
      </c>
      <c r="E2" s="217" t="s">
        <v>306</v>
      </c>
      <c r="F2" s="217" t="s">
        <v>311</v>
      </c>
      <c r="G2" s="217" t="s">
        <v>312</v>
      </c>
      <c r="H2" s="217" t="s">
        <v>307</v>
      </c>
      <c r="I2" s="217" t="s">
        <v>314</v>
      </c>
      <c r="J2" s="217" t="s">
        <v>313</v>
      </c>
      <c r="K2" s="217" t="s">
        <v>289</v>
      </c>
      <c r="L2" s="217" t="s">
        <v>315</v>
      </c>
      <c r="M2" s="218" t="s">
        <v>36</v>
      </c>
    </row>
    <row r="3" spans="1:14">
      <c r="A3" s="12" t="s">
        <v>290</v>
      </c>
      <c r="B3" s="219"/>
      <c r="C3" s="219"/>
      <c r="D3" s="219">
        <v>1408.12</v>
      </c>
      <c r="E3" s="219">
        <v>3688.12</v>
      </c>
      <c r="F3" s="219">
        <v>27852</v>
      </c>
      <c r="G3" s="219">
        <v>5000</v>
      </c>
      <c r="H3" s="219">
        <v>4018.18</v>
      </c>
      <c r="I3" s="219"/>
      <c r="J3" s="219">
        <v>7745.21</v>
      </c>
      <c r="K3" s="219"/>
      <c r="L3" s="219">
        <v>22468.12</v>
      </c>
      <c r="M3" s="219">
        <f>SUM(B3:L3)</f>
        <v>72179.75</v>
      </c>
      <c r="N3" s="3"/>
    </row>
    <row r="4" spans="1:14">
      <c r="A4" s="12" t="s">
        <v>291</v>
      </c>
      <c r="B4" s="219">
        <v>6826</v>
      </c>
      <c r="C4" s="219"/>
      <c r="D4" s="219"/>
      <c r="E4" s="219"/>
      <c r="F4" s="219"/>
      <c r="G4" s="219">
        <v>10000</v>
      </c>
      <c r="H4" s="219"/>
      <c r="I4" s="219"/>
      <c r="J4" s="219">
        <v>57058</v>
      </c>
      <c r="K4" s="219">
        <v>23548</v>
      </c>
      <c r="L4" s="219"/>
      <c r="M4" s="219">
        <f t="shared" ref="M4:M14" si="0">SUM(B4:L4)</f>
        <v>97432</v>
      </c>
      <c r="N4" s="3"/>
    </row>
    <row r="5" spans="1:14">
      <c r="A5" s="12" t="s">
        <v>292</v>
      </c>
      <c r="B5" s="219">
        <v>858970</v>
      </c>
      <c r="C5" s="219"/>
      <c r="D5" s="219">
        <v>13028</v>
      </c>
      <c r="E5" s="219"/>
      <c r="F5" s="219">
        <v>1170</v>
      </c>
      <c r="G5" s="219">
        <v>121258</v>
      </c>
      <c r="H5" s="219"/>
      <c r="I5" s="219">
        <v>3768</v>
      </c>
      <c r="J5" s="219">
        <v>52989</v>
      </c>
      <c r="K5" s="219">
        <v>7013.14</v>
      </c>
      <c r="L5" s="219">
        <v>11926</v>
      </c>
      <c r="M5" s="219">
        <f t="shared" si="0"/>
        <v>1070122.1399999999</v>
      </c>
      <c r="N5" s="3"/>
    </row>
    <row r="6" spans="1:14">
      <c r="A6" s="12" t="s">
        <v>293</v>
      </c>
      <c r="B6" s="219">
        <v>1740</v>
      </c>
      <c r="C6" s="219"/>
      <c r="D6" s="219"/>
      <c r="E6" s="219"/>
      <c r="F6" s="219"/>
      <c r="G6" s="219">
        <v>291955</v>
      </c>
      <c r="H6" s="219"/>
      <c r="I6" s="219"/>
      <c r="J6" s="219">
        <v>48435</v>
      </c>
      <c r="K6" s="219">
        <v>9420</v>
      </c>
      <c r="L6" s="219">
        <v>74289</v>
      </c>
      <c r="M6" s="219">
        <f t="shared" si="0"/>
        <v>425839</v>
      </c>
      <c r="N6" s="3"/>
    </row>
    <row r="7" spans="1:14">
      <c r="A7" s="12" t="s">
        <v>294</v>
      </c>
      <c r="B7" s="219">
        <v>19880</v>
      </c>
      <c r="C7" s="219"/>
      <c r="D7" s="219">
        <v>4790</v>
      </c>
      <c r="E7" s="219"/>
      <c r="F7" s="219"/>
      <c r="G7" s="219"/>
      <c r="H7" s="219">
        <v>1260</v>
      </c>
      <c r="I7" s="219"/>
      <c r="J7" s="219">
        <v>378865.02</v>
      </c>
      <c r="K7" s="219">
        <v>465</v>
      </c>
      <c r="L7" s="219"/>
      <c r="M7" s="219">
        <f t="shared" si="0"/>
        <v>405260.02</v>
      </c>
      <c r="N7" s="3"/>
    </row>
    <row r="8" spans="1:14">
      <c r="A8" s="12" t="s">
        <v>295</v>
      </c>
      <c r="B8" s="219">
        <v>12390</v>
      </c>
      <c r="C8" s="219"/>
      <c r="D8" s="219">
        <v>4900</v>
      </c>
      <c r="E8" s="219"/>
      <c r="F8" s="219">
        <v>3890</v>
      </c>
      <c r="G8" s="219">
        <v>7550</v>
      </c>
      <c r="H8" s="219"/>
      <c r="I8" s="219"/>
      <c r="J8" s="219">
        <v>75798</v>
      </c>
      <c r="K8" s="219"/>
      <c r="L8" s="219">
        <v>6656</v>
      </c>
      <c r="M8" s="219">
        <f t="shared" si="0"/>
        <v>111184</v>
      </c>
      <c r="N8" s="3"/>
    </row>
    <row r="9" spans="1:14">
      <c r="A9" s="12" t="s">
        <v>296</v>
      </c>
      <c r="B9" s="219">
        <v>53260</v>
      </c>
      <c r="C9" s="219">
        <v>59450</v>
      </c>
      <c r="D9" s="219"/>
      <c r="E9" s="219"/>
      <c r="F9" s="219">
        <v>11775</v>
      </c>
      <c r="G9" s="219">
        <v>29500</v>
      </c>
      <c r="H9" s="219"/>
      <c r="I9" s="219"/>
      <c r="J9" s="219">
        <v>57285</v>
      </c>
      <c r="K9" s="219">
        <v>11195</v>
      </c>
      <c r="L9" s="219">
        <v>72342</v>
      </c>
      <c r="M9" s="219">
        <f t="shared" si="0"/>
        <v>294807</v>
      </c>
      <c r="N9" s="3"/>
    </row>
    <row r="10" spans="1:14">
      <c r="A10" s="12" t="s">
        <v>297</v>
      </c>
      <c r="B10" s="219">
        <v>2720</v>
      </c>
      <c r="C10" s="219"/>
      <c r="D10" s="219">
        <v>1100</v>
      </c>
      <c r="E10" s="219"/>
      <c r="F10" s="219"/>
      <c r="G10" s="219">
        <v>41680</v>
      </c>
      <c r="H10" s="219">
        <v>6920</v>
      </c>
      <c r="I10" s="219"/>
      <c r="J10" s="219">
        <v>23055.21</v>
      </c>
      <c r="K10" s="219"/>
      <c r="L10" s="219"/>
      <c r="M10" s="219">
        <f t="shared" si="0"/>
        <v>75475.209999999992</v>
      </c>
      <c r="N10" s="3"/>
    </row>
    <row r="11" spans="1:14">
      <c r="A11" s="12" t="s">
        <v>298</v>
      </c>
      <c r="B11" s="219">
        <v>16858</v>
      </c>
      <c r="C11" s="219"/>
      <c r="D11" s="219">
        <v>4100</v>
      </c>
      <c r="E11" s="219"/>
      <c r="F11" s="219"/>
      <c r="G11" s="219"/>
      <c r="H11" s="219">
        <v>8320</v>
      </c>
      <c r="I11" s="219"/>
      <c r="J11" s="219">
        <v>77047</v>
      </c>
      <c r="K11" s="219"/>
      <c r="L11" s="219"/>
      <c r="M11" s="219">
        <f t="shared" si="0"/>
        <v>106325</v>
      </c>
      <c r="N11" s="3"/>
    </row>
    <row r="12" spans="1:14">
      <c r="A12" s="12" t="s">
        <v>299</v>
      </c>
      <c r="B12" s="219">
        <v>28700</v>
      </c>
      <c r="C12" s="219">
        <v>29452.2</v>
      </c>
      <c r="D12" s="219">
        <v>3190</v>
      </c>
      <c r="E12" s="219">
        <v>67480</v>
      </c>
      <c r="F12" s="219">
        <v>49400</v>
      </c>
      <c r="G12" s="219">
        <v>3852</v>
      </c>
      <c r="H12" s="219"/>
      <c r="I12" s="219"/>
      <c r="J12" s="219">
        <v>33159</v>
      </c>
      <c r="K12" s="219"/>
      <c r="L12" s="219"/>
      <c r="M12" s="219">
        <f t="shared" si="0"/>
        <v>215233.2</v>
      </c>
      <c r="N12" s="3"/>
    </row>
    <row r="13" spans="1:14">
      <c r="A13" s="12" t="s">
        <v>300</v>
      </c>
      <c r="B13" s="219">
        <v>16197</v>
      </c>
      <c r="C13" s="219"/>
      <c r="D13" s="219">
        <v>38000</v>
      </c>
      <c r="E13" s="219">
        <v>2800</v>
      </c>
      <c r="F13" s="219">
        <v>74285.2</v>
      </c>
      <c r="G13" s="219">
        <v>63700</v>
      </c>
      <c r="H13" s="219">
        <v>5000</v>
      </c>
      <c r="I13" s="219"/>
      <c r="J13" s="219">
        <v>46161</v>
      </c>
      <c r="K13" s="219">
        <v>1200</v>
      </c>
      <c r="L13" s="219">
        <v>3160</v>
      </c>
      <c r="M13" s="219">
        <f t="shared" si="0"/>
        <v>250503.2</v>
      </c>
      <c r="N13" s="3"/>
    </row>
    <row r="14" spans="1:14">
      <c r="A14" s="12" t="s">
        <v>301</v>
      </c>
      <c r="B14" s="219">
        <v>3480</v>
      </c>
      <c r="C14" s="219">
        <v>11600</v>
      </c>
      <c r="D14" s="219">
        <v>1700</v>
      </c>
      <c r="E14" s="219"/>
      <c r="F14" s="219">
        <v>91844</v>
      </c>
      <c r="G14" s="219"/>
      <c r="H14" s="219">
        <v>22969.759999999998</v>
      </c>
      <c r="I14" s="219"/>
      <c r="J14" s="219">
        <v>302789</v>
      </c>
      <c r="K14" s="219">
        <v>7865</v>
      </c>
      <c r="L14" s="219">
        <v>9440</v>
      </c>
      <c r="M14" s="219">
        <f t="shared" si="0"/>
        <v>451687.76</v>
      </c>
      <c r="N14" s="3"/>
    </row>
    <row r="15" spans="1:14">
      <c r="A15" s="12"/>
      <c r="B15" s="220">
        <f>SUM(B3:B14)</f>
        <v>1021021</v>
      </c>
      <c r="C15" s="220">
        <f t="shared" ref="C15:H15" si="1">SUM(C3:C14)</f>
        <v>100502.2</v>
      </c>
      <c r="D15" s="220">
        <f t="shared" si="1"/>
        <v>72216.12</v>
      </c>
      <c r="E15" s="220">
        <f t="shared" si="1"/>
        <v>73968.12</v>
      </c>
      <c r="F15" s="220">
        <f t="shared" si="1"/>
        <v>260216.2</v>
      </c>
      <c r="G15" s="220">
        <f t="shared" si="1"/>
        <v>574495</v>
      </c>
      <c r="H15" s="220">
        <f t="shared" si="1"/>
        <v>48487.94</v>
      </c>
      <c r="I15" s="220">
        <f>SUM(I3:I14)</f>
        <v>3768</v>
      </c>
      <c r="J15" s="220">
        <f>SUM(J3:J14)</f>
        <v>1160386.44</v>
      </c>
      <c r="K15" s="220">
        <f>SUM(K3:K14)</f>
        <v>60706.14</v>
      </c>
      <c r="L15" s="220">
        <f>SUM(L3:L14)</f>
        <v>200281.12</v>
      </c>
      <c r="M15" s="220">
        <f>SUM(B15:L15)</f>
        <v>3576048.28</v>
      </c>
    </row>
  </sheetData>
  <pageMargins left="0.21" right="0.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sqref="A1:P1"/>
    </sheetView>
  </sheetViews>
  <sheetFormatPr defaultRowHeight="24"/>
  <cols>
    <col min="1" max="1" width="3.5703125" style="1" customWidth="1"/>
    <col min="2" max="2" width="13.7109375" style="1" customWidth="1"/>
    <col min="3" max="3" width="11.5703125" style="1" customWidth="1"/>
    <col min="4" max="4" width="12.140625" style="1" bestFit="1" customWidth="1"/>
    <col min="5" max="5" width="11" style="1" hidden="1" customWidth="1"/>
    <col min="6" max="6" width="12.140625" style="1" hidden="1" customWidth="1"/>
    <col min="7" max="7" width="12.140625" style="1" bestFit="1" customWidth="1"/>
    <col min="8" max="8" width="11.7109375" style="1" customWidth="1"/>
    <col min="9" max="9" width="9.5703125" style="1" hidden="1" customWidth="1"/>
    <col min="10" max="10" width="13.28515625" style="1" customWidth="1"/>
    <col min="11" max="11" width="11" style="1" customWidth="1"/>
    <col min="12" max="12" width="12.140625" style="1" bestFit="1" customWidth="1"/>
    <col min="13" max="13" width="13.7109375" style="1" customWidth="1"/>
    <col min="14" max="14" width="12.140625" style="1" bestFit="1" customWidth="1"/>
    <col min="15" max="15" width="11.28515625" style="1" bestFit="1" customWidth="1"/>
    <col min="16" max="16384" width="9.140625" style="1"/>
  </cols>
  <sheetData>
    <row r="1" spans="1:15">
      <c r="B1" s="1" t="s">
        <v>87</v>
      </c>
    </row>
    <row r="2" spans="1:15">
      <c r="A2" s="12"/>
      <c r="B2" s="217" t="s">
        <v>310</v>
      </c>
      <c r="C2" s="217" t="s">
        <v>114</v>
      </c>
      <c r="D2" s="217" t="s">
        <v>305</v>
      </c>
      <c r="E2" s="217" t="s">
        <v>306</v>
      </c>
      <c r="F2" s="217" t="s">
        <v>311</v>
      </c>
      <c r="G2" s="217" t="s">
        <v>312</v>
      </c>
      <c r="H2" s="217" t="s">
        <v>307</v>
      </c>
      <c r="I2" s="217" t="s">
        <v>314</v>
      </c>
      <c r="J2" s="217" t="s">
        <v>313</v>
      </c>
      <c r="K2" s="217" t="s">
        <v>289</v>
      </c>
      <c r="L2" s="217" t="s">
        <v>315</v>
      </c>
      <c r="M2" s="218" t="s">
        <v>36</v>
      </c>
    </row>
    <row r="3" spans="1:15">
      <c r="A3" s="12" t="s">
        <v>290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>
        <f>SUM(B3:L3)</f>
        <v>0</v>
      </c>
      <c r="N3" s="3"/>
    </row>
    <row r="4" spans="1:15">
      <c r="A4" s="12" t="s">
        <v>291</v>
      </c>
      <c r="B4" s="219"/>
      <c r="C4" s="219"/>
      <c r="D4" s="219">
        <v>16445</v>
      </c>
      <c r="E4" s="219"/>
      <c r="F4" s="219"/>
      <c r="G4" s="219"/>
      <c r="H4" s="219">
        <v>5000</v>
      </c>
      <c r="I4" s="219"/>
      <c r="J4" s="219">
        <v>7185</v>
      </c>
      <c r="K4" s="219">
        <v>500</v>
      </c>
      <c r="L4" s="219">
        <v>8000</v>
      </c>
      <c r="M4" s="219">
        <f t="shared" ref="M4:M14" si="0">SUM(B4:L4)</f>
        <v>37130</v>
      </c>
      <c r="N4" s="3"/>
    </row>
    <row r="5" spans="1:15">
      <c r="A5" s="12" t="s">
        <v>292</v>
      </c>
      <c r="B5" s="219"/>
      <c r="C5" s="219"/>
      <c r="D5" s="219">
        <v>25690</v>
      </c>
      <c r="E5" s="219"/>
      <c r="F5" s="219"/>
      <c r="G5" s="219"/>
      <c r="H5" s="219">
        <v>800</v>
      </c>
      <c r="I5" s="219"/>
      <c r="J5" s="219">
        <v>22191</v>
      </c>
      <c r="K5" s="219">
        <v>200</v>
      </c>
      <c r="L5" s="219">
        <v>2000</v>
      </c>
      <c r="M5" s="219">
        <f t="shared" si="0"/>
        <v>50881</v>
      </c>
      <c r="N5" s="3"/>
    </row>
    <row r="6" spans="1:15">
      <c r="A6" s="12" t="s">
        <v>293</v>
      </c>
      <c r="B6" s="219"/>
      <c r="C6" s="219"/>
      <c r="D6" s="219">
        <v>63470</v>
      </c>
      <c r="E6" s="219"/>
      <c r="F6" s="219"/>
      <c r="G6" s="219"/>
      <c r="H6" s="219"/>
      <c r="I6" s="219"/>
      <c r="J6" s="219">
        <v>20400</v>
      </c>
      <c r="K6" s="219">
        <v>1887</v>
      </c>
      <c r="L6" s="219"/>
      <c r="M6" s="219">
        <f t="shared" si="0"/>
        <v>85757</v>
      </c>
      <c r="N6" s="3"/>
    </row>
    <row r="7" spans="1:15">
      <c r="A7" s="12" t="s">
        <v>294</v>
      </c>
      <c r="B7" s="219"/>
      <c r="C7" s="219"/>
      <c r="D7" s="219">
        <v>34990</v>
      </c>
      <c r="E7" s="219"/>
      <c r="F7" s="219"/>
      <c r="G7" s="219"/>
      <c r="H7" s="219">
        <v>4000</v>
      </c>
      <c r="I7" s="219"/>
      <c r="J7" s="219">
        <v>18210</v>
      </c>
      <c r="K7" s="219">
        <v>26350</v>
      </c>
      <c r="L7" s="219">
        <v>108960</v>
      </c>
      <c r="M7" s="219">
        <f t="shared" si="0"/>
        <v>192510</v>
      </c>
      <c r="N7" s="3"/>
    </row>
    <row r="8" spans="1:15">
      <c r="A8" s="12" t="s">
        <v>295</v>
      </c>
      <c r="B8" s="219">
        <v>295778.21000000002</v>
      </c>
      <c r="C8" s="219"/>
      <c r="D8" s="219">
        <v>70120</v>
      </c>
      <c r="E8" s="219"/>
      <c r="F8" s="219"/>
      <c r="G8" s="219"/>
      <c r="H8" s="219">
        <v>7000</v>
      </c>
      <c r="I8" s="219"/>
      <c r="J8" s="219">
        <v>14895</v>
      </c>
      <c r="K8" s="219"/>
      <c r="L8" s="219"/>
      <c r="M8" s="219">
        <f t="shared" si="0"/>
        <v>387793.21</v>
      </c>
      <c r="N8" s="3">
        <v>387793.21</v>
      </c>
      <c r="O8" s="144">
        <f>M8-N8</f>
        <v>0</v>
      </c>
    </row>
    <row r="9" spans="1:15">
      <c r="A9" s="12" t="s">
        <v>296</v>
      </c>
      <c r="B9" s="219"/>
      <c r="C9" s="219"/>
      <c r="D9" s="219">
        <v>125500</v>
      </c>
      <c r="E9" s="219"/>
      <c r="F9" s="219"/>
      <c r="G9" s="219">
        <v>5550</v>
      </c>
      <c r="H9" s="219">
        <v>1700</v>
      </c>
      <c r="I9" s="219"/>
      <c r="J9" s="219">
        <v>21700</v>
      </c>
      <c r="K9" s="219">
        <v>12800</v>
      </c>
      <c r="L9" s="219">
        <v>14100</v>
      </c>
      <c r="M9" s="219">
        <f t="shared" si="0"/>
        <v>181350</v>
      </c>
      <c r="N9" s="3">
        <v>181350</v>
      </c>
      <c r="O9" s="144">
        <f t="shared" ref="O9:O14" si="1">M9-N9</f>
        <v>0</v>
      </c>
    </row>
    <row r="10" spans="1:15">
      <c r="A10" s="12" t="s">
        <v>297</v>
      </c>
      <c r="B10" s="219">
        <v>14100</v>
      </c>
      <c r="C10" s="219"/>
      <c r="D10" s="219">
        <v>73900</v>
      </c>
      <c r="E10" s="219"/>
      <c r="F10" s="219"/>
      <c r="G10" s="219"/>
      <c r="H10" s="219"/>
      <c r="I10" s="219"/>
      <c r="J10" s="219">
        <v>21694</v>
      </c>
      <c r="K10" s="219">
        <v>400</v>
      </c>
      <c r="L10" s="219">
        <v>11000</v>
      </c>
      <c r="M10" s="219">
        <f t="shared" si="0"/>
        <v>121094</v>
      </c>
      <c r="N10" s="3">
        <v>121094</v>
      </c>
      <c r="O10" s="144">
        <f t="shared" si="1"/>
        <v>0</v>
      </c>
    </row>
    <row r="11" spans="1:15">
      <c r="A11" s="12" t="s">
        <v>298</v>
      </c>
      <c r="B11" s="219">
        <v>351208</v>
      </c>
      <c r="C11" s="219"/>
      <c r="D11" s="219"/>
      <c r="E11" s="219"/>
      <c r="F11" s="219"/>
      <c r="G11" s="219"/>
      <c r="H11" s="219"/>
      <c r="I11" s="219"/>
      <c r="J11" s="219">
        <v>22650</v>
      </c>
      <c r="K11" s="219"/>
      <c r="L11" s="219"/>
      <c r="M11" s="219">
        <f t="shared" si="0"/>
        <v>373858</v>
      </c>
      <c r="N11" s="3">
        <v>373858.6</v>
      </c>
      <c r="O11" s="144">
        <f t="shared" si="1"/>
        <v>-0.59999999997671694</v>
      </c>
    </row>
    <row r="12" spans="1:15">
      <c r="A12" s="12" t="s">
        <v>299</v>
      </c>
      <c r="B12" s="219"/>
      <c r="C12" s="219"/>
      <c r="D12" s="219">
        <v>33400</v>
      </c>
      <c r="E12" s="219"/>
      <c r="F12" s="219"/>
      <c r="G12" s="219"/>
      <c r="H12" s="219"/>
      <c r="I12" s="219"/>
      <c r="J12" s="219">
        <v>10700</v>
      </c>
      <c r="K12" s="219">
        <v>400</v>
      </c>
      <c r="L12" s="219">
        <v>6750</v>
      </c>
      <c r="M12" s="219">
        <f t="shared" si="0"/>
        <v>51250</v>
      </c>
      <c r="N12" s="3">
        <v>51250</v>
      </c>
      <c r="O12" s="144">
        <f t="shared" si="1"/>
        <v>0</v>
      </c>
    </row>
    <row r="13" spans="1:15">
      <c r="A13" s="12" t="s">
        <v>300</v>
      </c>
      <c r="B13" s="219">
        <v>29350</v>
      </c>
      <c r="C13" s="219"/>
      <c r="D13" s="219">
        <v>62490</v>
      </c>
      <c r="E13" s="219"/>
      <c r="F13" s="219"/>
      <c r="G13" s="219"/>
      <c r="H13" s="219">
        <v>5720</v>
      </c>
      <c r="I13" s="219"/>
      <c r="J13" s="219">
        <v>19964</v>
      </c>
      <c r="K13" s="219">
        <v>24400</v>
      </c>
      <c r="L13" s="219">
        <v>10000</v>
      </c>
      <c r="M13" s="219">
        <f t="shared" si="0"/>
        <v>151924</v>
      </c>
      <c r="N13" s="3">
        <v>151924</v>
      </c>
      <c r="O13" s="144">
        <f t="shared" si="1"/>
        <v>0</v>
      </c>
    </row>
    <row r="14" spans="1:15">
      <c r="A14" s="12" t="s">
        <v>301</v>
      </c>
      <c r="B14" s="219">
        <v>454747.1</v>
      </c>
      <c r="C14" s="219">
        <v>3000</v>
      </c>
      <c r="D14" s="219">
        <v>45143</v>
      </c>
      <c r="E14" s="219"/>
      <c r="F14" s="219"/>
      <c r="G14" s="219">
        <v>4800</v>
      </c>
      <c r="H14" s="219">
        <v>900</v>
      </c>
      <c r="I14" s="219"/>
      <c r="J14" s="219">
        <v>83457</v>
      </c>
      <c r="K14" s="219">
        <v>800</v>
      </c>
      <c r="L14" s="219">
        <v>14000</v>
      </c>
      <c r="M14" s="219">
        <f t="shared" si="0"/>
        <v>606847.1</v>
      </c>
      <c r="N14" s="3">
        <v>608797.1</v>
      </c>
      <c r="O14" s="144">
        <f t="shared" si="1"/>
        <v>-1950</v>
      </c>
    </row>
    <row r="15" spans="1:15">
      <c r="A15" s="12"/>
      <c r="B15" s="220">
        <f>SUM(B3:B14)</f>
        <v>1145183.31</v>
      </c>
      <c r="C15" s="220">
        <f t="shared" ref="C15:H15" si="2">SUM(C3:C14)</f>
        <v>3000</v>
      </c>
      <c r="D15" s="220">
        <f t="shared" si="2"/>
        <v>551148</v>
      </c>
      <c r="E15" s="220">
        <f t="shared" si="2"/>
        <v>0</v>
      </c>
      <c r="F15" s="220">
        <f t="shared" si="2"/>
        <v>0</v>
      </c>
      <c r="G15" s="220">
        <f t="shared" si="2"/>
        <v>10350</v>
      </c>
      <c r="H15" s="220">
        <f t="shared" si="2"/>
        <v>25120</v>
      </c>
      <c r="I15" s="220">
        <f>SUM(I3:I14)</f>
        <v>0</v>
      </c>
      <c r="J15" s="220">
        <f>SUM(J3:J14)</f>
        <v>263046</v>
      </c>
      <c r="K15" s="220">
        <f>SUM(K3:K14)</f>
        <v>67737</v>
      </c>
      <c r="L15" s="220">
        <f>SUM(L3:L14)</f>
        <v>174810</v>
      </c>
      <c r="M15" s="220">
        <f>SUM(B15:L15)</f>
        <v>2240394.31</v>
      </c>
    </row>
    <row r="17" spans="2:13">
      <c r="B17" s="3">
        <f>3560+451187.1</f>
        <v>454747.1</v>
      </c>
      <c r="C17" s="3">
        <f>28.04+2971.96</f>
        <v>3000</v>
      </c>
      <c r="D17" s="3">
        <f>9043+3000+2000+15000+15000+1100</f>
        <v>45143</v>
      </c>
      <c r="E17" s="3"/>
      <c r="F17" s="3"/>
      <c r="G17" s="3">
        <v>4800</v>
      </c>
      <c r="H17" s="3">
        <v>900</v>
      </c>
      <c r="I17" s="3"/>
      <c r="J17" s="3">
        <f>3000+105.6+10454.4+3500+7400+9900+141.47+14005.53+169.5+16780.5+6800+11088+112</f>
        <v>83457</v>
      </c>
      <c r="K17" s="3">
        <f>500+300</f>
        <v>800</v>
      </c>
      <c r="L17" s="3">
        <f>6000+8000</f>
        <v>14000</v>
      </c>
      <c r="M17" s="221">
        <f>SUM(B17:L17)</f>
        <v>606847.1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6" zoomScale="130" workbookViewId="0">
      <selection activeCell="G8" sqref="G8"/>
    </sheetView>
  </sheetViews>
  <sheetFormatPr defaultRowHeight="24"/>
  <cols>
    <col min="1" max="1" width="9.140625" style="35"/>
    <col min="2" max="2" width="14.42578125" style="35" customWidth="1"/>
    <col min="3" max="3" width="4.140625" style="35" customWidth="1"/>
    <col min="4" max="4" width="25.5703125" style="35" customWidth="1"/>
    <col min="5" max="5" width="12.42578125" style="35" customWidth="1"/>
    <col min="6" max="6" width="2.85546875" style="35" customWidth="1"/>
    <col min="7" max="7" width="16.5703125" style="35" bestFit="1" customWidth="1"/>
    <col min="8" max="9" width="9.140625" style="35"/>
    <col min="10" max="10" width="15" style="35" bestFit="1" customWidth="1"/>
    <col min="11" max="16384" width="9.140625" style="35"/>
  </cols>
  <sheetData>
    <row r="1" spans="1:7" s="33" customFormat="1" ht="18.75" customHeight="1">
      <c r="A1" s="301" t="s">
        <v>0</v>
      </c>
      <c r="B1" s="301"/>
      <c r="C1" s="301"/>
      <c r="D1" s="301"/>
      <c r="E1" s="301"/>
      <c r="F1" s="301"/>
      <c r="G1" s="301"/>
    </row>
    <row r="2" spans="1:7" s="33" customFormat="1" ht="18.75" customHeight="1">
      <c r="A2" s="301" t="s">
        <v>70</v>
      </c>
      <c r="B2" s="301"/>
      <c r="C2" s="301"/>
      <c r="D2" s="301"/>
      <c r="E2" s="301"/>
      <c r="F2" s="301"/>
      <c r="G2" s="301"/>
    </row>
    <row r="3" spans="1:7" s="33" customFormat="1" ht="18.75" customHeight="1">
      <c r="A3" s="301" t="s">
        <v>1</v>
      </c>
      <c r="B3" s="301"/>
      <c r="C3" s="301"/>
      <c r="D3" s="301"/>
      <c r="E3" s="301"/>
      <c r="F3" s="301"/>
      <c r="G3" s="301"/>
    </row>
    <row r="4" spans="1:7" s="33" customFormat="1" ht="18.75" customHeight="1">
      <c r="A4" s="301" t="s">
        <v>341</v>
      </c>
      <c r="B4" s="301"/>
      <c r="C4" s="301"/>
      <c r="D4" s="301"/>
      <c r="E4" s="301"/>
      <c r="F4" s="301"/>
      <c r="G4" s="301"/>
    </row>
    <row r="5" spans="1:7" s="33" customFormat="1" ht="27.75">
      <c r="A5" s="302" t="s">
        <v>2</v>
      </c>
      <c r="B5" s="302"/>
      <c r="C5" s="302"/>
      <c r="D5" s="302"/>
      <c r="E5" s="302"/>
      <c r="F5" s="302"/>
      <c r="G5" s="302"/>
    </row>
    <row r="7" spans="1:7" ht="24.75" thickBot="1">
      <c r="A7" s="34" t="s">
        <v>3</v>
      </c>
      <c r="G7" s="36">
        <v>22060471</v>
      </c>
    </row>
    <row r="8" spans="1:7" ht="24.75" thickTop="1">
      <c r="A8" s="35" t="s">
        <v>4</v>
      </c>
      <c r="G8" s="37">
        <v>38500642.490000002</v>
      </c>
    </row>
    <row r="9" spans="1:7">
      <c r="A9" s="35" t="s">
        <v>5</v>
      </c>
      <c r="G9" s="37">
        <v>636044.89</v>
      </c>
    </row>
    <row r="10" spans="1:7">
      <c r="A10" s="35" t="s">
        <v>6</v>
      </c>
      <c r="B10" s="35" t="s">
        <v>7</v>
      </c>
      <c r="E10" s="37">
        <v>452876</v>
      </c>
      <c r="F10" s="37"/>
    </row>
    <row r="11" spans="1:7">
      <c r="B11" s="35" t="s">
        <v>8</v>
      </c>
      <c r="E11" s="38">
        <v>43575.95</v>
      </c>
      <c r="F11" s="39"/>
      <c r="G11" s="38">
        <f>SUM(E10:E11)</f>
        <v>496451.95</v>
      </c>
    </row>
    <row r="12" spans="1:7" ht="24.75" thickBot="1">
      <c r="G12" s="40">
        <f>G8+G11+G9</f>
        <v>39633139.330000006</v>
      </c>
    </row>
    <row r="13" spans="1:7" ht="24.75" thickTop="1">
      <c r="G13" s="41"/>
    </row>
    <row r="15" spans="1:7" ht="30.75">
      <c r="A15" s="300" t="s">
        <v>9</v>
      </c>
      <c r="B15" s="300"/>
      <c r="C15" s="300"/>
      <c r="D15" s="300"/>
      <c r="E15" s="300"/>
      <c r="F15" s="300"/>
      <c r="G15" s="300"/>
    </row>
    <row r="17" spans="1:10" ht="24.75" thickBot="1">
      <c r="A17" s="34" t="s">
        <v>10</v>
      </c>
      <c r="G17" s="36">
        <v>22060471</v>
      </c>
    </row>
    <row r="18" spans="1:10" ht="24.75" thickTop="1">
      <c r="A18" s="35" t="s">
        <v>65</v>
      </c>
      <c r="G18" s="37">
        <v>1453354.21</v>
      </c>
    </row>
    <row r="19" spans="1:10">
      <c r="A19" s="35" t="s">
        <v>94</v>
      </c>
      <c r="G19" s="37">
        <v>1449812.9</v>
      </c>
    </row>
    <row r="20" spans="1:10">
      <c r="A20" s="35" t="s">
        <v>95</v>
      </c>
      <c r="G20" s="37">
        <v>1615800</v>
      </c>
    </row>
    <row r="21" spans="1:10">
      <c r="A21" s="35" t="s">
        <v>96</v>
      </c>
      <c r="G21" s="37">
        <v>23248240.449999999</v>
      </c>
    </row>
    <row r="22" spans="1:10">
      <c r="A22" s="35" t="s">
        <v>11</v>
      </c>
      <c r="G22" s="37">
        <v>11865931.77</v>
      </c>
    </row>
    <row r="23" spans="1:10" ht="24.75" thickBot="1">
      <c r="G23" s="42">
        <f>SUM(G18:G22)</f>
        <v>39633139.329999998</v>
      </c>
      <c r="J23" s="228"/>
    </row>
    <row r="24" spans="1:10" ht="24.75" thickTop="1">
      <c r="G24" s="43"/>
    </row>
    <row r="25" spans="1:10">
      <c r="G25" s="43"/>
    </row>
    <row r="26" spans="1:10" s="1" customFormat="1">
      <c r="A26" s="298" t="s">
        <v>199</v>
      </c>
      <c r="B26" s="298"/>
      <c r="C26" s="298"/>
      <c r="D26" s="298"/>
      <c r="E26" s="298"/>
      <c r="F26" s="298"/>
      <c r="G26" s="298"/>
      <c r="H26" s="3"/>
      <c r="I26" s="3"/>
    </row>
    <row r="27" spans="1:10" s="1" customFormat="1">
      <c r="A27" s="298" t="s">
        <v>197</v>
      </c>
      <c r="B27" s="298"/>
      <c r="C27" s="298"/>
      <c r="D27" s="298"/>
      <c r="E27" s="298"/>
      <c r="F27" s="298"/>
      <c r="G27" s="298"/>
      <c r="H27" s="3"/>
      <c r="I27" s="3"/>
    </row>
    <row r="28" spans="1:10" s="1" customFormat="1">
      <c r="A28" s="298" t="s">
        <v>198</v>
      </c>
      <c r="B28" s="298"/>
      <c r="C28" s="298"/>
      <c r="D28" s="298"/>
      <c r="E28" s="298"/>
      <c r="F28" s="298"/>
      <c r="G28" s="298"/>
      <c r="H28" s="3"/>
      <c r="I28" s="3"/>
    </row>
    <row r="29" spans="1:10">
      <c r="G29" s="43"/>
    </row>
    <row r="31" spans="1:10">
      <c r="A31" s="299" t="s">
        <v>14</v>
      </c>
      <c r="B31" s="299"/>
      <c r="C31" s="44"/>
      <c r="D31" s="44" t="s">
        <v>15</v>
      </c>
      <c r="E31" s="299" t="s">
        <v>66</v>
      </c>
      <c r="F31" s="299"/>
      <c r="G31" s="299"/>
    </row>
    <row r="32" spans="1:10">
      <c r="A32" s="299" t="s">
        <v>12</v>
      </c>
      <c r="B32" s="299"/>
      <c r="C32" s="44"/>
      <c r="D32" s="44" t="s">
        <v>69</v>
      </c>
      <c r="E32" s="299" t="s">
        <v>67</v>
      </c>
      <c r="F32" s="299"/>
      <c r="G32" s="299"/>
    </row>
    <row r="33" spans="1:7">
      <c r="A33" s="299" t="s">
        <v>13</v>
      </c>
      <c r="B33" s="299"/>
      <c r="C33" s="44"/>
      <c r="D33" s="44" t="s">
        <v>16</v>
      </c>
      <c r="E33" s="299" t="s">
        <v>68</v>
      </c>
      <c r="F33" s="299"/>
      <c r="G33" s="299"/>
    </row>
  </sheetData>
  <mergeCells count="15">
    <mergeCell ref="A15:G15"/>
    <mergeCell ref="A1:G1"/>
    <mergeCell ref="A3:G3"/>
    <mergeCell ref="A4:G4"/>
    <mergeCell ref="A5:G5"/>
    <mergeCell ref="A2:G2"/>
    <mergeCell ref="A33:B33"/>
    <mergeCell ref="E31:G31"/>
    <mergeCell ref="E32:G32"/>
    <mergeCell ref="E33:G33"/>
    <mergeCell ref="A26:G26"/>
    <mergeCell ref="A27:G27"/>
    <mergeCell ref="A28:G28"/>
    <mergeCell ref="A31:B31"/>
    <mergeCell ref="A32:B32"/>
  </mergeCells>
  <phoneticPr fontId="6" type="noConversion"/>
  <pageMargins left="1.05" right="0.47" top="0.8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workbookViewId="0">
      <selection sqref="A1:P1"/>
    </sheetView>
  </sheetViews>
  <sheetFormatPr defaultRowHeight="24"/>
  <cols>
    <col min="1" max="1" width="3.5703125" style="1" customWidth="1"/>
    <col min="2" max="2" width="13.7109375" style="1" customWidth="1"/>
    <col min="3" max="3" width="11.5703125" style="1" hidden="1" customWidth="1"/>
    <col min="4" max="4" width="12.140625" style="1" customWidth="1"/>
    <col min="5" max="5" width="11" style="1" hidden="1" customWidth="1"/>
    <col min="6" max="7" width="12.140625" style="1" hidden="1" customWidth="1"/>
    <col min="8" max="8" width="11.7109375" style="1" hidden="1" customWidth="1"/>
    <col min="9" max="9" width="9.5703125" style="1" hidden="1" customWidth="1"/>
    <col min="10" max="10" width="13.28515625" style="1" customWidth="1"/>
    <col min="11" max="11" width="11" style="1" customWidth="1"/>
    <col min="12" max="12" width="12.140625" style="1" hidden="1" customWidth="1"/>
    <col min="13" max="13" width="13.7109375" style="1" customWidth="1"/>
    <col min="14" max="14" width="12.140625" style="1" bestFit="1" customWidth="1"/>
    <col min="15" max="15" width="11.28515625" style="1" bestFit="1" customWidth="1"/>
    <col min="16" max="16" width="11.28515625" style="1" customWidth="1"/>
    <col min="17" max="17" width="9.140625" style="1"/>
    <col min="18" max="18" width="11" style="1" bestFit="1" customWidth="1"/>
    <col min="19" max="19" width="12.140625" style="1" bestFit="1" customWidth="1"/>
    <col min="20" max="20" width="11" style="1" bestFit="1" customWidth="1"/>
    <col min="21" max="21" width="9.85546875" style="1" bestFit="1" customWidth="1"/>
    <col min="22" max="22" width="11" style="1" bestFit="1" customWidth="1"/>
    <col min="23" max="23" width="12.140625" style="1" bestFit="1" customWidth="1"/>
    <col min="24" max="24" width="11" style="1" bestFit="1" customWidth="1"/>
    <col min="25" max="25" width="11.28515625" style="1" bestFit="1" customWidth="1"/>
    <col min="26" max="16384" width="9.140625" style="1"/>
  </cols>
  <sheetData>
    <row r="1" spans="1:27">
      <c r="B1" s="1" t="s">
        <v>87</v>
      </c>
    </row>
    <row r="2" spans="1:27">
      <c r="A2" s="12"/>
      <c r="B2" s="217" t="s">
        <v>310</v>
      </c>
      <c r="C2" s="217" t="s">
        <v>114</v>
      </c>
      <c r="D2" s="217" t="s">
        <v>305</v>
      </c>
      <c r="E2" s="217" t="s">
        <v>306</v>
      </c>
      <c r="F2" s="217" t="s">
        <v>311</v>
      </c>
      <c r="G2" s="217" t="s">
        <v>312</v>
      </c>
      <c r="H2" s="217" t="s">
        <v>307</v>
      </c>
      <c r="I2" s="217" t="s">
        <v>314</v>
      </c>
      <c r="J2" s="217" t="s">
        <v>313</v>
      </c>
      <c r="K2" s="217" t="s">
        <v>289</v>
      </c>
      <c r="L2" s="217" t="s">
        <v>315</v>
      </c>
      <c r="M2" s="218" t="s">
        <v>36</v>
      </c>
      <c r="Q2" s="12"/>
      <c r="R2" s="218" t="s">
        <v>319</v>
      </c>
      <c r="S2" s="218" t="s">
        <v>313</v>
      </c>
      <c r="T2" s="218" t="s">
        <v>289</v>
      </c>
      <c r="U2" s="218" t="s">
        <v>305</v>
      </c>
      <c r="V2" s="218" t="s">
        <v>314</v>
      </c>
      <c r="W2" s="218" t="s">
        <v>320</v>
      </c>
    </row>
    <row r="3" spans="1:27">
      <c r="A3" s="12" t="s">
        <v>290</v>
      </c>
      <c r="B3" s="219">
        <v>2234.9899999999998</v>
      </c>
      <c r="C3" s="219"/>
      <c r="D3" s="219"/>
      <c r="E3" s="219"/>
      <c r="F3" s="219"/>
      <c r="G3" s="219"/>
      <c r="H3" s="219"/>
      <c r="I3" s="219"/>
      <c r="J3" s="219">
        <v>28518.42</v>
      </c>
      <c r="K3" s="219"/>
      <c r="L3" s="219"/>
      <c r="M3" s="219">
        <f>SUM(B3:L3)</f>
        <v>30753.409999999996</v>
      </c>
      <c r="N3" s="3">
        <v>30753.41</v>
      </c>
      <c r="O3" s="144">
        <f>M3-N3</f>
        <v>0</v>
      </c>
      <c r="P3" s="144"/>
      <c r="Q3" s="218" t="s">
        <v>290</v>
      </c>
      <c r="R3" s="219">
        <v>2234.9899999999998</v>
      </c>
      <c r="S3" s="219">
        <v>28518.42</v>
      </c>
      <c r="T3" s="12"/>
      <c r="U3" s="12"/>
      <c r="V3" s="12"/>
      <c r="W3" s="219">
        <f>SUM(R3:V3)</f>
        <v>30753.409999999996</v>
      </c>
      <c r="X3" s="3">
        <v>30753.41</v>
      </c>
      <c r="Y3" s="144">
        <f>W3-X3</f>
        <v>0</v>
      </c>
    </row>
    <row r="4" spans="1:27">
      <c r="A4" s="12" t="s">
        <v>291</v>
      </c>
      <c r="B4" s="219">
        <v>2379.3200000000002</v>
      </c>
      <c r="C4" s="219"/>
      <c r="D4" s="219"/>
      <c r="E4" s="219"/>
      <c r="F4" s="219"/>
      <c r="G4" s="219"/>
      <c r="H4" s="219"/>
      <c r="I4" s="219"/>
      <c r="J4" s="219">
        <v>34605.54</v>
      </c>
      <c r="K4" s="219"/>
      <c r="L4" s="219"/>
      <c r="M4" s="219">
        <f t="shared" ref="M4:M14" si="0">SUM(B4:L4)</f>
        <v>36984.86</v>
      </c>
      <c r="N4" s="3">
        <v>17762.93</v>
      </c>
      <c r="O4" s="144">
        <f t="shared" ref="O4:O14" si="1">M4-N4</f>
        <v>19221.93</v>
      </c>
      <c r="P4" s="144"/>
      <c r="Q4" s="218" t="s">
        <v>291</v>
      </c>
      <c r="R4" s="219"/>
      <c r="S4" s="219">
        <f>2973.75+4518.88+9466.23+89.3+714.77</f>
        <v>17762.93</v>
      </c>
      <c r="T4" s="219"/>
      <c r="U4" s="219"/>
      <c r="V4" s="219"/>
      <c r="W4" s="219">
        <f>SUM(R4:V4)</f>
        <v>17762.93</v>
      </c>
      <c r="X4" s="3">
        <v>17762.93</v>
      </c>
      <c r="Y4" s="144">
        <f t="shared" ref="Y4:Y14" si="2">W4-X4</f>
        <v>0</v>
      </c>
    </row>
    <row r="5" spans="1:27">
      <c r="A5" s="12" t="s">
        <v>292</v>
      </c>
      <c r="B5" s="219">
        <v>4207.57</v>
      </c>
      <c r="C5" s="219"/>
      <c r="D5" s="219"/>
      <c r="E5" s="219"/>
      <c r="F5" s="219"/>
      <c r="G5" s="219"/>
      <c r="H5" s="219"/>
      <c r="I5" s="219"/>
      <c r="J5" s="219">
        <v>31457.08</v>
      </c>
      <c r="K5" s="219">
        <v>2000</v>
      </c>
      <c r="L5" s="219"/>
      <c r="M5" s="219">
        <f t="shared" si="0"/>
        <v>37664.65</v>
      </c>
      <c r="N5" s="3">
        <v>81839.94</v>
      </c>
      <c r="O5" s="144">
        <f t="shared" si="1"/>
        <v>-44175.29</v>
      </c>
      <c r="P5" s="144"/>
      <c r="Q5" s="218" t="s">
        <v>292</v>
      </c>
      <c r="R5" s="219">
        <f>182.6+2084.14</f>
        <v>2266.7399999999998</v>
      </c>
      <c r="S5" s="219">
        <f>19039.33+555.48+2123.43+4013.07+17084.87+82+8692+9.62+1020.04</f>
        <v>52619.840000000004</v>
      </c>
      <c r="T5" s="219"/>
      <c r="U5" s="219"/>
      <c r="V5" s="219">
        <f>6989.96+6819.85+6503.26+6640.29</f>
        <v>26953.360000000001</v>
      </c>
      <c r="W5" s="219">
        <f t="shared" ref="W5:W14" si="3">SUM(R5:V5)</f>
        <v>81839.94</v>
      </c>
      <c r="X5" s="3">
        <v>81839.94</v>
      </c>
      <c r="Y5" s="144">
        <f t="shared" si="2"/>
        <v>0</v>
      </c>
    </row>
    <row r="6" spans="1:27">
      <c r="A6" s="12" t="s">
        <v>293</v>
      </c>
      <c r="B6" s="219">
        <v>5085.58</v>
      </c>
      <c r="C6" s="219"/>
      <c r="D6" s="219"/>
      <c r="E6" s="219"/>
      <c r="F6" s="219"/>
      <c r="G6" s="219"/>
      <c r="H6" s="219"/>
      <c r="I6" s="219"/>
      <c r="J6" s="219">
        <v>12192.01</v>
      </c>
      <c r="K6" s="219"/>
      <c r="L6" s="219"/>
      <c r="M6" s="219">
        <f t="shared" si="0"/>
        <v>17277.59</v>
      </c>
      <c r="N6" s="3">
        <v>28204.71</v>
      </c>
      <c r="O6" s="144">
        <f t="shared" si="1"/>
        <v>-10927.119999999999</v>
      </c>
      <c r="P6" s="144"/>
      <c r="Q6" s="218" t="s">
        <v>293</v>
      </c>
      <c r="R6" s="219">
        <f>1092+2608.87</f>
        <v>3700.87</v>
      </c>
      <c r="S6" s="219">
        <f>631.3+1872.54</f>
        <v>2503.84</v>
      </c>
      <c r="T6" s="219">
        <v>2000</v>
      </c>
      <c r="U6" s="219"/>
      <c r="V6" s="219"/>
      <c r="W6" s="219">
        <f t="shared" si="3"/>
        <v>8204.7099999999991</v>
      </c>
      <c r="X6" s="3">
        <v>28204.71</v>
      </c>
      <c r="Y6" s="144">
        <f t="shared" si="2"/>
        <v>-20000</v>
      </c>
      <c r="AA6" s="1" t="s">
        <v>321</v>
      </c>
    </row>
    <row r="7" spans="1:27">
      <c r="A7" s="12" t="s">
        <v>294</v>
      </c>
      <c r="B7" s="219">
        <v>2930.79</v>
      </c>
      <c r="C7" s="219"/>
      <c r="D7" s="219"/>
      <c r="E7" s="219"/>
      <c r="F7" s="219"/>
      <c r="G7" s="219"/>
      <c r="H7" s="219"/>
      <c r="I7" s="219"/>
      <c r="J7" s="219">
        <v>54682.879999999997</v>
      </c>
      <c r="K7" s="219"/>
      <c r="L7" s="219"/>
      <c r="M7" s="219">
        <f t="shared" si="0"/>
        <v>57613.67</v>
      </c>
      <c r="N7" s="3">
        <v>49345.34</v>
      </c>
      <c r="O7" s="144">
        <f t="shared" si="1"/>
        <v>8268.3300000000017</v>
      </c>
      <c r="P7" s="144"/>
      <c r="Q7" s="218" t="s">
        <v>294</v>
      </c>
      <c r="R7" s="219">
        <f>1384.71+2121.54</f>
        <v>3506.25</v>
      </c>
      <c r="S7" s="219">
        <f>905.63+8692+19435.48+1205.25+8692+82+90.54</f>
        <v>39102.9</v>
      </c>
      <c r="T7" s="219"/>
      <c r="U7" s="219"/>
      <c r="V7" s="219">
        <v>6736.19</v>
      </c>
      <c r="W7" s="219">
        <f t="shared" si="3"/>
        <v>49345.340000000004</v>
      </c>
      <c r="X7" s="3">
        <v>49345.34</v>
      </c>
      <c r="Y7" s="144">
        <f t="shared" si="2"/>
        <v>0</v>
      </c>
    </row>
    <row r="8" spans="1:27">
      <c r="A8" s="12" t="s">
        <v>295</v>
      </c>
      <c r="B8" s="219">
        <v>2823.34</v>
      </c>
      <c r="C8" s="219"/>
      <c r="D8" s="219"/>
      <c r="E8" s="219"/>
      <c r="F8" s="219"/>
      <c r="G8" s="219"/>
      <c r="H8" s="219"/>
      <c r="I8" s="219"/>
      <c r="J8" s="219">
        <v>15558.53</v>
      </c>
      <c r="K8" s="219">
        <v>2000</v>
      </c>
      <c r="L8" s="219"/>
      <c r="M8" s="219">
        <f t="shared" si="0"/>
        <v>20381.870000000003</v>
      </c>
      <c r="N8" s="3">
        <v>55550.04</v>
      </c>
      <c r="O8" s="144">
        <f t="shared" si="1"/>
        <v>-35168.17</v>
      </c>
      <c r="P8" s="144"/>
      <c r="Q8" s="218" t="s">
        <v>295</v>
      </c>
      <c r="R8" s="219">
        <f>809.25+259.27+1704.72</f>
        <v>2773.24</v>
      </c>
      <c r="S8" s="219">
        <f>1092.58+17612.7+2816.51+3746.36+790.73+8774+1043.78+2000</f>
        <v>37876.660000000003</v>
      </c>
      <c r="T8" s="219">
        <v>2000</v>
      </c>
      <c r="U8" s="219"/>
      <c r="V8" s="219">
        <f>6116.28+6783.86</f>
        <v>12900.14</v>
      </c>
      <c r="W8" s="219">
        <f t="shared" si="3"/>
        <v>55550.04</v>
      </c>
      <c r="X8" s="3">
        <v>55550.04</v>
      </c>
      <c r="Y8" s="144">
        <f t="shared" si="2"/>
        <v>0</v>
      </c>
    </row>
    <row r="9" spans="1:27">
      <c r="A9" s="12" t="s">
        <v>296</v>
      </c>
      <c r="B9" s="219">
        <v>4935.24</v>
      </c>
      <c r="C9" s="219"/>
      <c r="D9" s="219"/>
      <c r="E9" s="219"/>
      <c r="F9" s="219"/>
      <c r="G9" s="219"/>
      <c r="H9" s="219"/>
      <c r="I9" s="219"/>
      <c r="J9" s="219">
        <v>32689.34</v>
      </c>
      <c r="K9" s="219"/>
      <c r="L9" s="219"/>
      <c r="M9" s="219">
        <f t="shared" si="0"/>
        <v>37624.58</v>
      </c>
      <c r="N9" s="3">
        <v>28634.560000000001</v>
      </c>
      <c r="O9" s="144">
        <f t="shared" si="1"/>
        <v>8990.02</v>
      </c>
      <c r="P9" s="144"/>
      <c r="Q9" s="218" t="s">
        <v>296</v>
      </c>
      <c r="R9" s="219">
        <f>859.35+1635.39</f>
        <v>2494.7400000000002</v>
      </c>
      <c r="S9" s="219">
        <f>2950.02+698.71+8774+952.3</f>
        <v>13375.029999999999</v>
      </c>
      <c r="T9" s="219"/>
      <c r="U9" s="219"/>
      <c r="V9" s="219">
        <v>6764.79</v>
      </c>
      <c r="W9" s="219">
        <f t="shared" si="3"/>
        <v>22634.559999999998</v>
      </c>
      <c r="X9" s="3">
        <v>28634.560000000001</v>
      </c>
      <c r="Y9" s="144">
        <f t="shared" si="2"/>
        <v>-6000.0000000000036</v>
      </c>
    </row>
    <row r="10" spans="1:27">
      <c r="A10" s="12" t="s">
        <v>297</v>
      </c>
      <c r="B10" s="219">
        <v>2274.4499999999998</v>
      </c>
      <c r="C10" s="219"/>
      <c r="D10" s="219"/>
      <c r="E10" s="219"/>
      <c r="F10" s="219"/>
      <c r="G10" s="219"/>
      <c r="H10" s="219"/>
      <c r="I10" s="219"/>
      <c r="J10" s="219">
        <v>48485.98</v>
      </c>
      <c r="K10" s="219">
        <v>2000</v>
      </c>
      <c r="L10" s="219"/>
      <c r="M10" s="219">
        <f t="shared" si="0"/>
        <v>52760.43</v>
      </c>
      <c r="N10" s="3">
        <v>46003.85</v>
      </c>
      <c r="O10" s="144">
        <f t="shared" si="1"/>
        <v>6756.5800000000017</v>
      </c>
      <c r="P10" s="144"/>
      <c r="Q10" s="218" t="s">
        <v>297</v>
      </c>
      <c r="R10" s="219">
        <f>476.51+1427.38+847.07</f>
        <v>2750.96</v>
      </c>
      <c r="S10" s="219">
        <f>19524.1+2740.23+1274.58+17713.98</f>
        <v>41252.89</v>
      </c>
      <c r="T10" s="219">
        <v>2000</v>
      </c>
      <c r="U10" s="219"/>
      <c r="V10" s="219"/>
      <c r="W10" s="219">
        <f t="shared" si="3"/>
        <v>46003.85</v>
      </c>
      <c r="X10" s="3">
        <v>46003.85</v>
      </c>
      <c r="Y10" s="144">
        <f t="shared" si="2"/>
        <v>0</v>
      </c>
    </row>
    <row r="11" spans="1:27">
      <c r="A11" s="12" t="s">
        <v>298</v>
      </c>
      <c r="B11" s="219">
        <v>3790.26</v>
      </c>
      <c r="C11" s="219"/>
      <c r="D11" s="219"/>
      <c r="E11" s="219"/>
      <c r="F11" s="219"/>
      <c r="G11" s="219"/>
      <c r="H11" s="219"/>
      <c r="I11" s="219"/>
      <c r="J11" s="219">
        <v>35435.43</v>
      </c>
      <c r="K11" s="219"/>
      <c r="L11" s="219"/>
      <c r="M11" s="219">
        <f t="shared" si="0"/>
        <v>39225.69</v>
      </c>
      <c r="N11" s="3">
        <v>37270.31</v>
      </c>
      <c r="O11" s="144">
        <f t="shared" si="1"/>
        <v>1955.3800000000047</v>
      </c>
      <c r="P11" s="144"/>
      <c r="Q11" s="218" t="s">
        <v>298</v>
      </c>
      <c r="R11" s="219">
        <v>2098.38</v>
      </c>
      <c r="S11" s="219">
        <f>19880.9+842.52+8774+2753.67+652.7+2268.14</f>
        <v>35171.93</v>
      </c>
      <c r="T11" s="219"/>
      <c r="U11" s="219"/>
      <c r="V11" s="219"/>
      <c r="W11" s="219">
        <f t="shared" si="3"/>
        <v>37270.31</v>
      </c>
      <c r="X11" s="3">
        <v>37270.31</v>
      </c>
      <c r="Y11" s="144">
        <f t="shared" si="2"/>
        <v>0</v>
      </c>
    </row>
    <row r="12" spans="1:27">
      <c r="A12" s="12" t="s">
        <v>299</v>
      </c>
      <c r="B12" s="219">
        <v>1913.05</v>
      </c>
      <c r="C12" s="219"/>
      <c r="D12" s="219"/>
      <c r="E12" s="219"/>
      <c r="F12" s="219"/>
      <c r="G12" s="219"/>
      <c r="H12" s="219"/>
      <c r="I12" s="219"/>
      <c r="J12" s="219">
        <v>10849.21</v>
      </c>
      <c r="K12" s="219">
        <v>2000</v>
      </c>
      <c r="L12" s="219"/>
      <c r="M12" s="219">
        <f t="shared" si="0"/>
        <v>14762.259999999998</v>
      </c>
      <c r="N12" s="3">
        <v>58611.14</v>
      </c>
      <c r="O12" s="144">
        <f t="shared" si="1"/>
        <v>-43848.880000000005</v>
      </c>
      <c r="P12" s="144"/>
      <c r="Q12" s="218" t="s">
        <v>299</v>
      </c>
      <c r="R12" s="219">
        <f>1691.88+1913.05</f>
        <v>3604.9300000000003</v>
      </c>
      <c r="S12" s="219">
        <f>8774+924.86+20062.06+1205.25+8774</f>
        <v>39740.17</v>
      </c>
      <c r="T12" s="219">
        <v>2000</v>
      </c>
      <c r="U12" s="219"/>
      <c r="V12" s="219">
        <f>6633.02+6633.02</f>
        <v>13266.04</v>
      </c>
      <c r="W12" s="219">
        <f t="shared" si="3"/>
        <v>58611.14</v>
      </c>
      <c r="X12" s="3">
        <v>58611.14</v>
      </c>
      <c r="Y12" s="144">
        <f t="shared" si="2"/>
        <v>0</v>
      </c>
    </row>
    <row r="13" spans="1:27">
      <c r="A13" s="12" t="s">
        <v>300</v>
      </c>
      <c r="B13" s="219">
        <v>5156.8100000000004</v>
      </c>
      <c r="C13" s="219"/>
      <c r="D13" s="219">
        <v>2000</v>
      </c>
      <c r="E13" s="219"/>
      <c r="F13" s="219"/>
      <c r="G13" s="219"/>
      <c r="H13" s="219"/>
      <c r="I13" s="219"/>
      <c r="J13" s="219">
        <v>33937.06</v>
      </c>
      <c r="K13" s="219">
        <v>2000</v>
      </c>
      <c r="L13" s="219"/>
      <c r="M13" s="219">
        <f t="shared" si="0"/>
        <v>43093.869999999995</v>
      </c>
      <c r="N13" s="3">
        <v>52796.71</v>
      </c>
      <c r="O13" s="144">
        <f t="shared" si="1"/>
        <v>-9702.8400000000038</v>
      </c>
      <c r="P13" s="144"/>
      <c r="Q13" s="218" t="s">
        <v>300</v>
      </c>
      <c r="R13" s="219">
        <f>1563.27+2075.21+1518.33</f>
        <v>5156.8099999999995</v>
      </c>
      <c r="S13" s="219">
        <f>869.96+19768.45+1721.36+652.7+8774+912.66</f>
        <v>32699.13</v>
      </c>
      <c r="T13" s="219">
        <v>2000</v>
      </c>
      <c r="U13" s="219"/>
      <c r="V13" s="219">
        <f>6411.46+6529.31</f>
        <v>12940.77</v>
      </c>
      <c r="W13" s="219">
        <f t="shared" si="3"/>
        <v>52796.710000000006</v>
      </c>
      <c r="X13" s="3">
        <v>52796.71</v>
      </c>
      <c r="Y13" s="144">
        <f t="shared" si="2"/>
        <v>0</v>
      </c>
    </row>
    <row r="14" spans="1:27">
      <c r="A14" s="12" t="s">
        <v>301</v>
      </c>
      <c r="B14" s="219">
        <v>4167.46</v>
      </c>
      <c r="C14" s="219"/>
      <c r="D14" s="219"/>
      <c r="E14" s="219"/>
      <c r="F14" s="219"/>
      <c r="G14" s="219"/>
      <c r="H14" s="219"/>
      <c r="I14" s="219"/>
      <c r="J14" s="219">
        <v>39906.31</v>
      </c>
      <c r="K14" s="219"/>
      <c r="L14" s="219"/>
      <c r="M14" s="219">
        <f t="shared" si="0"/>
        <v>44073.77</v>
      </c>
      <c r="N14" s="3">
        <v>48181.66</v>
      </c>
      <c r="O14" s="144">
        <f t="shared" si="1"/>
        <v>-4107.8900000000067</v>
      </c>
      <c r="P14" s="144"/>
      <c r="Q14" s="218" t="s">
        <v>301</v>
      </c>
      <c r="R14" s="219">
        <f>567.1+1972.43</f>
        <v>2539.5300000000002</v>
      </c>
      <c r="S14" s="219">
        <f>2107.89+15320.61+2562.44+2000+10411.36+8774+860.81+1605.02</f>
        <v>43642.13</v>
      </c>
      <c r="T14" s="219"/>
      <c r="U14" s="219">
        <v>2000</v>
      </c>
      <c r="V14" s="219"/>
      <c r="W14" s="219">
        <f t="shared" si="3"/>
        <v>48181.659999999996</v>
      </c>
      <c r="X14" s="3">
        <v>48181.66</v>
      </c>
      <c r="Y14" s="144">
        <f t="shared" si="2"/>
        <v>0</v>
      </c>
    </row>
    <row r="15" spans="1:27">
      <c r="A15" s="12"/>
      <c r="B15" s="220">
        <f>SUM(B3:B14)</f>
        <v>41898.86</v>
      </c>
      <c r="C15" s="220">
        <f t="shared" ref="C15:H15" si="4">SUM(C3:C14)</f>
        <v>0</v>
      </c>
      <c r="D15" s="220">
        <f t="shared" si="4"/>
        <v>2000</v>
      </c>
      <c r="E15" s="220">
        <f t="shared" si="4"/>
        <v>0</v>
      </c>
      <c r="F15" s="220">
        <f t="shared" si="4"/>
        <v>0</v>
      </c>
      <c r="G15" s="220">
        <f t="shared" si="4"/>
        <v>0</v>
      </c>
      <c r="H15" s="220">
        <f t="shared" si="4"/>
        <v>0</v>
      </c>
      <c r="I15" s="220">
        <f>SUM(I3:I14)</f>
        <v>0</v>
      </c>
      <c r="J15" s="220">
        <f>SUM(J3:J14)</f>
        <v>378317.79000000004</v>
      </c>
      <c r="K15" s="220">
        <f>SUM(K3:K14)</f>
        <v>10000</v>
      </c>
      <c r="L15" s="220">
        <f>SUM(L3:L14)</f>
        <v>0</v>
      </c>
      <c r="M15" s="220">
        <f>SUM(B15:L15)</f>
        <v>432216.65</v>
      </c>
      <c r="Q15" s="12"/>
      <c r="R15" s="220">
        <f t="shared" ref="R15:W15" si="5">SUM(R3:R14)</f>
        <v>33127.439999999995</v>
      </c>
      <c r="S15" s="220">
        <f t="shared" si="5"/>
        <v>384265.87</v>
      </c>
      <c r="T15" s="220">
        <f t="shared" si="5"/>
        <v>10000</v>
      </c>
      <c r="U15" s="220">
        <f t="shared" si="5"/>
        <v>2000</v>
      </c>
      <c r="V15" s="220">
        <f t="shared" si="5"/>
        <v>79561.290000000008</v>
      </c>
      <c r="W15" s="220">
        <f t="shared" si="5"/>
        <v>508954.6</v>
      </c>
    </row>
    <row r="17" spans="2:13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22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34"/>
  <sheetViews>
    <sheetView zoomScale="130" workbookViewId="0">
      <selection sqref="A1:P1"/>
    </sheetView>
  </sheetViews>
  <sheetFormatPr defaultRowHeight="24"/>
  <cols>
    <col min="1" max="1" width="29" style="84" customWidth="1"/>
    <col min="2" max="2" width="13.5703125" style="84" hidden="1" customWidth="1"/>
    <col min="3" max="3" width="12.7109375" style="84" hidden="1" customWidth="1"/>
    <col min="4" max="5" width="13.28515625" style="84" customWidth="1"/>
    <col min="6" max="16" width="13.28515625" style="84" hidden="1" customWidth="1"/>
    <col min="17" max="17" width="9.140625" style="84" hidden="1" customWidth="1"/>
    <col min="18" max="19" width="12.42578125" style="84" hidden="1" customWidth="1"/>
    <col min="20" max="20" width="15" style="84" customWidth="1"/>
    <col min="21" max="21" width="57.28515625" style="84" customWidth="1"/>
    <col min="22" max="28" width="9.140625" style="84"/>
    <col min="29" max="29" width="9.140625" style="84" customWidth="1"/>
    <col min="30" max="16384" width="9.140625" style="84"/>
  </cols>
  <sheetData>
    <row r="1" spans="1:29" ht="27.75">
      <c r="A1" s="337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2" spans="1:29" ht="27.75">
      <c r="A2" s="337" t="s">
        <v>70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29" ht="27.75">
      <c r="A3" s="337" t="s">
        <v>175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29" ht="27.75">
      <c r="A4" s="338" t="s">
        <v>360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</row>
    <row r="5" spans="1:29" ht="27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29" ht="56.25">
      <c r="A6" s="86" t="s">
        <v>76</v>
      </c>
      <c r="B6" s="86" t="s">
        <v>77</v>
      </c>
      <c r="C6" s="86" t="s">
        <v>78</v>
      </c>
      <c r="D6" s="86" t="s">
        <v>77</v>
      </c>
      <c r="E6" s="86" t="s">
        <v>36</v>
      </c>
      <c r="F6" s="86" t="s">
        <v>79</v>
      </c>
      <c r="G6" s="86" t="s">
        <v>112</v>
      </c>
      <c r="H6" s="86" t="s">
        <v>113</v>
      </c>
      <c r="I6" s="86" t="s">
        <v>114</v>
      </c>
      <c r="J6" s="86" t="s">
        <v>115</v>
      </c>
      <c r="K6" s="86" t="s">
        <v>116</v>
      </c>
      <c r="L6" s="86" t="s">
        <v>117</v>
      </c>
      <c r="M6" s="86" t="s">
        <v>118</v>
      </c>
      <c r="N6" s="86" t="s">
        <v>119</v>
      </c>
      <c r="O6" s="86" t="s">
        <v>120</v>
      </c>
      <c r="P6" s="86" t="s">
        <v>82</v>
      </c>
      <c r="Q6" s="87"/>
      <c r="R6" s="87"/>
      <c r="S6" s="87"/>
      <c r="T6" s="86" t="s">
        <v>50</v>
      </c>
      <c r="U6" s="87"/>
      <c r="V6" s="87"/>
      <c r="W6" s="87"/>
      <c r="X6" s="87"/>
      <c r="Y6" s="87"/>
      <c r="Z6" s="87"/>
    </row>
    <row r="7" spans="1:29" hidden="1">
      <c r="A7" s="88"/>
      <c r="B7" s="88"/>
      <c r="C7" s="88"/>
      <c r="D7" s="88"/>
      <c r="E7" s="88"/>
      <c r="F7" s="88"/>
      <c r="G7" s="89" t="s">
        <v>121</v>
      </c>
      <c r="H7" s="89" t="s">
        <v>122</v>
      </c>
      <c r="I7" s="89" t="s">
        <v>123</v>
      </c>
      <c r="J7" s="89" t="s">
        <v>124</v>
      </c>
      <c r="K7" s="89" t="s">
        <v>125</v>
      </c>
      <c r="L7" s="89" t="s">
        <v>126</v>
      </c>
      <c r="M7" s="89" t="s">
        <v>127</v>
      </c>
      <c r="N7" s="89" t="s">
        <v>128</v>
      </c>
      <c r="O7" s="89" t="s">
        <v>129</v>
      </c>
      <c r="P7" s="89" t="s">
        <v>130</v>
      </c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9" s="92" customFormat="1" ht="21.75">
      <c r="A8" s="90" t="s">
        <v>81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R8" s="92" t="s">
        <v>287</v>
      </c>
      <c r="S8" s="213" t="s">
        <v>288</v>
      </c>
      <c r="T8" s="91"/>
      <c r="U8" s="99"/>
      <c r="V8" s="293"/>
      <c r="W8" s="293"/>
      <c r="X8" s="293"/>
      <c r="Y8" s="293"/>
      <c r="Z8" s="293"/>
      <c r="AA8" s="293"/>
      <c r="AB8" s="293"/>
      <c r="AC8" s="294"/>
    </row>
    <row r="9" spans="1:29" s="92" customFormat="1" ht="21.75">
      <c r="A9" s="91" t="s">
        <v>82</v>
      </c>
      <c r="B9" s="93">
        <f>งานบริหารทั่วไป!B8+'รักษาความสงบ '!B8+'การศึกษา '!B8+สาธารณสุข!B8+สังคมสงเคราะห์!B8+'เคหะและชุมชน '!B8+'สร้างความเข้มแข็ง '!B8+ศาสนา!B8+'เกษตร '!B8+พาณิชย์!B8+งบกลาง!B8</f>
        <v>1694530</v>
      </c>
      <c r="C9" s="136">
        <f>งานบริหารทั่วไป!C8+'รักษาความสงบ '!C8+'การศึกษา '!C8+สาธารณสุข!C8+สังคมสงเคราะห์!C8+'เคหะและชุมชน '!C8+'สร้างความเข้มแข็ง '!C8+ศาสนา!C8+'เกษตร '!C8+พาณิชย์!C8+งบกลาง!C8</f>
        <v>-57500</v>
      </c>
      <c r="D9" s="93">
        <f t="shared" ref="D9:D19" si="0">SUM(B9+C9)</f>
        <v>1637030</v>
      </c>
      <c r="E9" s="93">
        <f t="shared" ref="E9:E19" si="1">SUM(F9:P9)</f>
        <v>770694</v>
      </c>
      <c r="F9" s="93">
        <f>งานบริหารทั่วไป!E8</f>
        <v>0</v>
      </c>
      <c r="G9" s="93">
        <f>'รักษาความสงบ '!E8</f>
        <v>0</v>
      </c>
      <c r="H9" s="93">
        <f>'การศึกษา '!E8</f>
        <v>0</v>
      </c>
      <c r="I9" s="93">
        <f>สาธารณสุข!E8</f>
        <v>0</v>
      </c>
      <c r="J9" s="93">
        <f>สังคมสงเคราะห์!E8</f>
        <v>0</v>
      </c>
      <c r="K9" s="93">
        <f>'เคหะและชุมชน '!E8</f>
        <v>0</v>
      </c>
      <c r="L9" s="93">
        <f>'สร้างความเข้มแข็ง '!E8</f>
        <v>0</v>
      </c>
      <c r="M9" s="93">
        <f>ศาสนา!E8</f>
        <v>0</v>
      </c>
      <c r="N9" s="93">
        <f>'เกษตร '!E8</f>
        <v>0</v>
      </c>
      <c r="O9" s="93">
        <f>พาณิชย์!E8</f>
        <v>0</v>
      </c>
      <c r="P9" s="93">
        <v>770694</v>
      </c>
      <c r="R9" s="212">
        <v>770694</v>
      </c>
      <c r="S9" s="214">
        <f>R9-E9</f>
        <v>0</v>
      </c>
      <c r="T9" s="292">
        <f>D9-E9</f>
        <v>866336</v>
      </c>
      <c r="U9" s="99"/>
      <c r="V9" s="293"/>
      <c r="W9" s="293"/>
      <c r="X9" s="293"/>
      <c r="Y9" s="293"/>
      <c r="Z9" s="293"/>
      <c r="AA9" s="293"/>
      <c r="AB9" s="293"/>
      <c r="AC9" s="294"/>
    </row>
    <row r="10" spans="1:29" s="92" customFormat="1" ht="21.75">
      <c r="A10" s="91" t="s">
        <v>83</v>
      </c>
      <c r="B10" s="93">
        <f>งานบริหารทั่วไป!B9+'รักษาความสงบ '!B9+'การศึกษา '!B9+สาธารณสุข!B9+สังคมสงเคราะห์!B9+'เคหะและชุมชน '!B9+'สร้างความเข้มแข็ง '!B9+ศาสนา!B9+'เกษตร '!B9+พาณิชย์!B9+งบกลาง!B9</f>
        <v>2928480</v>
      </c>
      <c r="C10" s="136">
        <f>งานบริหารทั่วไป!C9+'รักษาความสงบ '!C9+'การศึกษา '!C9+สาธารณสุข!C9+สังคมสงเคราะห์!C9+'เคหะและชุมชน '!C9+'สร้างความเข้มแข็ง '!C9+ศาสนา!C9+'เกษตร '!C9+พาณิชย์!C9+งบกลาง!C9</f>
        <v>0</v>
      </c>
      <c r="D10" s="93">
        <f t="shared" si="0"/>
        <v>2928480</v>
      </c>
      <c r="E10" s="93">
        <f t="shared" si="1"/>
        <v>2624640</v>
      </c>
      <c r="F10" s="93">
        <f>งานบริหารทั่วไป!E9</f>
        <v>2624640</v>
      </c>
      <c r="G10" s="93">
        <f>'รักษาความสงบ '!E9</f>
        <v>0</v>
      </c>
      <c r="H10" s="93">
        <f>'การศึกษา '!E9</f>
        <v>0</v>
      </c>
      <c r="I10" s="93">
        <f>สาธารณสุข!E9</f>
        <v>0</v>
      </c>
      <c r="J10" s="93">
        <f>สังคมสงเคราะห์!E9</f>
        <v>0</v>
      </c>
      <c r="K10" s="93">
        <f>'เคหะและชุมชน '!E9</f>
        <v>0</v>
      </c>
      <c r="L10" s="93">
        <f>'สร้างความเข้มแข็ง '!E9</f>
        <v>0</v>
      </c>
      <c r="M10" s="93">
        <f>ศาสนา!E9</f>
        <v>0</v>
      </c>
      <c r="N10" s="93">
        <f>'เกษตร '!E9</f>
        <v>0</v>
      </c>
      <c r="O10" s="93">
        <f>พาณิชย์!E9</f>
        <v>0</v>
      </c>
      <c r="P10" s="93">
        <f>งบกลาง!E9</f>
        <v>0</v>
      </c>
      <c r="R10" s="212">
        <v>2624640</v>
      </c>
      <c r="S10" s="214">
        <f t="shared" ref="S10:S19" si="2">R10-E10</f>
        <v>0</v>
      </c>
      <c r="T10" s="292">
        <f t="shared" ref="T10:T19" si="3">D10-E10</f>
        <v>303840</v>
      </c>
      <c r="U10" s="99"/>
      <c r="V10" s="293"/>
      <c r="W10" s="293"/>
      <c r="X10" s="293"/>
      <c r="Y10" s="293"/>
      <c r="Z10" s="293"/>
      <c r="AA10" s="293"/>
      <c r="AB10" s="293"/>
      <c r="AC10" s="294"/>
    </row>
    <row r="11" spans="1:29" s="92" customFormat="1" ht="21.75">
      <c r="A11" s="91" t="s">
        <v>84</v>
      </c>
      <c r="B11" s="93">
        <f>งานบริหารทั่วไป!B10+'รักษาความสงบ '!B10+'การศึกษา '!B10+สาธารณสุข!B10+สังคมสงเคราะห์!B10+'เคหะและชุมชน '!B10+'สร้างความเข้มแข็ง '!B10+ศาสนา!B10+'เกษตร '!B10+พาณิชย์!B10+งบกลาง!B10</f>
        <v>6701080</v>
      </c>
      <c r="C11" s="136">
        <f>งานบริหารทั่วไป!C10+'รักษาความสงบ '!C10+'การศึกษา '!C10+สาธารณสุข!C10+สังคมสงเคราะห์!C10+'เคหะและชุมชน '!C10+'สร้างความเข้มแข็ง '!C10+ศาสนา!C10+'เกษตร '!C10+พาณิชย์!C10+งบกลาง!C10</f>
        <v>196020</v>
      </c>
      <c r="D11" s="93">
        <f t="shared" si="0"/>
        <v>6897100</v>
      </c>
      <c r="E11" s="93">
        <f t="shared" si="1"/>
        <v>6225844.46</v>
      </c>
      <c r="F11" s="93">
        <f>งานบริหารทั่วไป!E10</f>
        <v>3721585.79</v>
      </c>
      <c r="G11" s="93">
        <f>'รักษาความสงบ '!E10</f>
        <v>307037</v>
      </c>
      <c r="H11" s="93">
        <f>'การศึกษา '!E10</f>
        <v>486720</v>
      </c>
      <c r="I11" s="93">
        <f>สาธารณสุข!E10</f>
        <v>72000</v>
      </c>
      <c r="J11" s="93">
        <f>สังคมสงเคราะห์!E10</f>
        <v>0</v>
      </c>
      <c r="K11" s="93">
        <f>'เคหะและชุมชน '!E10</f>
        <v>1458501.67</v>
      </c>
      <c r="L11" s="93">
        <f>'สร้างความเข้มแข็ง '!E10</f>
        <v>0</v>
      </c>
      <c r="M11" s="93">
        <f>ศาสนา!E10</f>
        <v>0</v>
      </c>
      <c r="N11" s="93">
        <f>'เกษตร '!E10</f>
        <v>180000</v>
      </c>
      <c r="O11" s="93">
        <f>พาณิชย์!E10</f>
        <v>0</v>
      </c>
      <c r="P11" s="93">
        <f>งบกลาง!E10</f>
        <v>0</v>
      </c>
      <c r="R11" s="212">
        <f>6197444.46+14200+14200</f>
        <v>6225844.46</v>
      </c>
      <c r="S11" s="214">
        <f t="shared" si="2"/>
        <v>0</v>
      </c>
      <c r="T11" s="292">
        <f t="shared" si="3"/>
        <v>671255.54</v>
      </c>
      <c r="U11" s="99"/>
      <c r="V11" s="293"/>
      <c r="W11" s="293"/>
      <c r="X11" s="293"/>
      <c r="Y11" s="293"/>
      <c r="Z11" s="293"/>
      <c r="AA11" s="293"/>
      <c r="AB11" s="293"/>
      <c r="AC11" s="294"/>
    </row>
    <row r="12" spans="1:29" s="92" customFormat="1" ht="21.75">
      <c r="A12" s="91" t="s">
        <v>85</v>
      </c>
      <c r="B12" s="93">
        <f>งานบริหารทั่วไป!B11+'รักษาความสงบ '!B11+'การศึกษา '!B11+สาธารณสุข!B11+สังคมสงเคราะห์!B11+'เคหะและชุมชน '!B11+'สร้างความเข้มแข็ง '!B11+ศาสนา!B11+'เกษตร '!B11+พาณิชย์!B11+งบกลาง!B11</f>
        <v>2376400</v>
      </c>
      <c r="C12" s="136">
        <f>งานบริหารทั่วไป!C11+'รักษาความสงบ '!C11+'การศึกษา '!C11+สาธารณสุข!C11+สังคมสงเคราะห์!C11+'เคหะและชุมชน '!C11+'สร้างความเข้มแข็ง '!C11+ศาสนา!C11+'เกษตร '!C11+พาณิชย์!C11+งบกลาง!C11</f>
        <v>6800</v>
      </c>
      <c r="D12" s="93">
        <f t="shared" si="0"/>
        <v>2383200</v>
      </c>
      <c r="E12" s="93">
        <f t="shared" si="1"/>
        <v>2022997.5</v>
      </c>
      <c r="F12" s="93">
        <f>งานบริหารทั่วไป!E11</f>
        <v>953740.5</v>
      </c>
      <c r="G12" s="93">
        <f>'รักษาความสงบ '!E11</f>
        <v>219660</v>
      </c>
      <c r="H12" s="93">
        <f>'การศึกษา '!E11</f>
        <v>340052</v>
      </c>
      <c r="I12" s="93">
        <f>สาธารณสุข!E11</f>
        <v>43000</v>
      </c>
      <c r="J12" s="93">
        <f>สังคมสงเคราะห์!E11</f>
        <v>0</v>
      </c>
      <c r="K12" s="93">
        <f>'เคหะและชุมชน '!E11</f>
        <v>386194</v>
      </c>
      <c r="L12" s="93">
        <f>'สร้างความเข้มแข็ง '!E11</f>
        <v>0</v>
      </c>
      <c r="M12" s="93">
        <f>ศาสนา!E11</f>
        <v>0</v>
      </c>
      <c r="N12" s="93">
        <f>'เกษตร '!E11</f>
        <v>80351</v>
      </c>
      <c r="O12" s="93">
        <f>พาณิชย์!E11</f>
        <v>0</v>
      </c>
      <c r="P12" s="93">
        <f>งบกลาง!E11</f>
        <v>0</v>
      </c>
      <c r="R12" s="212">
        <f>431477.5+1587400+5850+1950-3680</f>
        <v>2022997.5</v>
      </c>
      <c r="S12" s="214">
        <f t="shared" si="2"/>
        <v>0</v>
      </c>
      <c r="T12" s="292">
        <f t="shared" si="3"/>
        <v>360202.5</v>
      </c>
      <c r="U12" s="99"/>
      <c r="V12" s="293"/>
      <c r="W12" s="293"/>
      <c r="X12" s="293"/>
      <c r="Y12" s="293"/>
      <c r="Z12" s="293"/>
      <c r="AA12" s="293"/>
      <c r="AB12" s="293"/>
      <c r="AC12" s="294"/>
    </row>
    <row r="13" spans="1:29" s="92" customFormat="1" ht="21.75">
      <c r="A13" s="91" t="s">
        <v>86</v>
      </c>
      <c r="B13" s="93">
        <f>งานบริหารทั่วไป!B12+'รักษาความสงบ '!B12+'การศึกษา '!B12+สาธารณสุข!B12+สังคมสงเคราะห์!B12+'เคหะและชุมชน '!B12+'สร้างความเข้มแข็ง '!B12+ศาสนา!B12+'เกษตร '!B12+พาณิชย์!B12+งบกลาง!B12</f>
        <v>5554760</v>
      </c>
      <c r="C13" s="136">
        <f>งานบริหารทั่วไป!C12+'รักษาความสงบ '!C12+'การศึกษา '!C12+สาธารณสุข!C12+สังคมสงเคราะห์!C12+'เคหะและชุมชน '!C12+'สร้างความเข้มแข็ง '!C12+ศาสนา!C12+'เกษตร '!C12+พาณิชย์!C12+งบกลาง!C12</f>
        <v>-576620</v>
      </c>
      <c r="D13" s="93">
        <f t="shared" si="0"/>
        <v>4978140</v>
      </c>
      <c r="E13" s="93">
        <f t="shared" si="1"/>
        <v>3683519.78</v>
      </c>
      <c r="F13" s="93">
        <f>งานบริหารทั่วไป!E12</f>
        <v>1331462.5799999998</v>
      </c>
      <c r="G13" s="93">
        <f>'รักษาความสงบ '!E12</f>
        <v>246161.12</v>
      </c>
      <c r="H13" s="93">
        <f>'การศึกษา '!E12</f>
        <v>1021221</v>
      </c>
      <c r="I13" s="93">
        <f>สาธารณสุข!E12</f>
        <v>100502.2</v>
      </c>
      <c r="J13" s="93">
        <f>สังคมสงเคราะห์!E12</f>
        <v>0</v>
      </c>
      <c r="K13" s="93">
        <f>'เคหะและชุมชน '!E12</f>
        <v>108184.23999999999</v>
      </c>
      <c r="L13" s="93">
        <f>'สร้างความเข้มแข็ง '!E12</f>
        <v>186316.2</v>
      </c>
      <c r="M13" s="93">
        <f>ศาสนา!E12</f>
        <v>574495</v>
      </c>
      <c r="N13" s="93">
        <f>'เกษตร '!E12</f>
        <v>111409.44</v>
      </c>
      <c r="O13" s="93">
        <f>พาณิชย์!E12</f>
        <v>3768</v>
      </c>
      <c r="P13" s="93">
        <f>งบกลาง!E12</f>
        <v>0</v>
      </c>
      <c r="R13" s="212">
        <v>3683519.78</v>
      </c>
      <c r="S13" s="214">
        <f t="shared" si="2"/>
        <v>0</v>
      </c>
      <c r="T13" s="292">
        <f t="shared" si="3"/>
        <v>1294620.2200000002</v>
      </c>
      <c r="U13" s="99"/>
      <c r="V13" s="293"/>
      <c r="W13" s="293"/>
      <c r="X13" s="293"/>
      <c r="Y13" s="293"/>
      <c r="Z13" s="293"/>
      <c r="AA13" s="293"/>
      <c r="AB13" s="293"/>
      <c r="AC13" s="294"/>
    </row>
    <row r="14" spans="1:29" s="92" customFormat="1" ht="21.75">
      <c r="A14" s="91" t="s">
        <v>87</v>
      </c>
      <c r="B14" s="93">
        <f>งานบริหารทั่วไป!B13+'รักษาความสงบ '!B13+'การศึกษา '!B13+สาธารณสุข!B13+สังคมสงเคราะห์!B13+'เคหะและชุมชน '!B13+'สร้างความเข้มแข็ง '!B13+ศาสนา!B13+'เกษตร '!B13+พาณิชย์!B13+งบกลาง!B13</f>
        <v>3211100</v>
      </c>
      <c r="C14" s="136">
        <f>งานบริหารทั่วไป!C13+'รักษาความสงบ '!C13+'การศึกษา '!C13+สาธารณสุข!C13+สังคมสงเคราะห์!C13+'เคหะและชุมชน '!C13+'สร้างความเข้มแข็ง '!C13+ศาสนา!C13+'เกษตร '!C13+พาณิชย์!C13+งบกลาง!C13</f>
        <v>15800</v>
      </c>
      <c r="D14" s="93">
        <f t="shared" si="0"/>
        <v>3226900</v>
      </c>
      <c r="E14" s="93">
        <f t="shared" si="1"/>
        <v>2374207.81</v>
      </c>
      <c r="F14" s="93">
        <f>งานบริหารทั่วไป!E13</f>
        <v>330783</v>
      </c>
      <c r="G14" s="93">
        <f>'รักษาความสงบ '!E13</f>
        <v>174810</v>
      </c>
      <c r="H14" s="93">
        <f>'การศึกษา '!E13</f>
        <v>1278996.81</v>
      </c>
      <c r="I14" s="93">
        <f>สาธารณสุข!E13</f>
        <v>0</v>
      </c>
      <c r="J14" s="93">
        <f>สังคมสงเคราะห์!E13</f>
        <v>0</v>
      </c>
      <c r="K14" s="93">
        <f>'เคหะและชุมชน '!E13</f>
        <v>554148</v>
      </c>
      <c r="L14" s="93">
        <f>'สร้างความเข้มแข็ง '!E13</f>
        <v>0</v>
      </c>
      <c r="M14" s="93">
        <f>ศาสนา!E13</f>
        <v>10350</v>
      </c>
      <c r="N14" s="93">
        <f>'เกษตร '!E13</f>
        <v>25120</v>
      </c>
      <c r="O14" s="93">
        <f>พาณิชย์!E13</f>
        <v>0</v>
      </c>
      <c r="P14" s="93">
        <f>งบกลาง!E13</f>
        <v>0</v>
      </c>
      <c r="R14" s="212">
        <v>2374207.81</v>
      </c>
      <c r="S14" s="214">
        <f t="shared" si="2"/>
        <v>0</v>
      </c>
      <c r="T14" s="292">
        <f t="shared" si="3"/>
        <v>852692.19</v>
      </c>
      <c r="U14" s="99"/>
      <c r="V14" s="293"/>
      <c r="W14" s="293"/>
      <c r="X14" s="293"/>
      <c r="Y14" s="293"/>
      <c r="Z14" s="293"/>
      <c r="AA14" s="293"/>
      <c r="AB14" s="293"/>
      <c r="AC14" s="294"/>
    </row>
    <row r="15" spans="1:29" s="92" customFormat="1" ht="21.75">
      <c r="A15" s="91" t="s">
        <v>88</v>
      </c>
      <c r="B15" s="93">
        <f>งานบริหารทั่วไป!B14+'รักษาความสงบ '!B14+'การศึกษา '!B14+สาธารณสุข!B14+สังคมสงเคราะห์!B14+'เคหะและชุมชน '!B14+'สร้างความเข้มแข็ง '!B14+ศาสนา!B14+'เกษตร '!B14+พาณิชย์!B14+งบกลาง!B14</f>
        <v>558000</v>
      </c>
      <c r="C15" s="136">
        <f>งานบริหารทั่วไป!C14+'รักษาความสงบ '!C14+'การศึกษา '!C14+สาธารณสุข!C14+สังคมสงเคราะห์!C14+'เคหะและชุมชน '!C14+'สร้างความเข้มแข็ง '!C14+ศาสนา!C14+'เกษตร '!C14+พาณิชย์!C14+งบกลาง!C14</f>
        <v>75000</v>
      </c>
      <c r="D15" s="93">
        <f t="shared" si="0"/>
        <v>633000</v>
      </c>
      <c r="E15" s="93">
        <f t="shared" si="1"/>
        <v>508954.6</v>
      </c>
      <c r="F15" s="93">
        <f>งานบริหารทั่วไป!E14</f>
        <v>394265.87</v>
      </c>
      <c r="G15" s="93">
        <f>'รักษาความสงบ '!E14</f>
        <v>0</v>
      </c>
      <c r="H15" s="93">
        <f>'การศึกษา '!E14</f>
        <v>33127.440000000002</v>
      </c>
      <c r="I15" s="93">
        <f>สาธารณสุข!E14</f>
        <v>0</v>
      </c>
      <c r="J15" s="93">
        <f>สังคมสงเคราะห์!E14</f>
        <v>0</v>
      </c>
      <c r="K15" s="93">
        <f>'เคหะและชุมชน '!E14</f>
        <v>2000</v>
      </c>
      <c r="L15" s="93">
        <f>'สร้างความเข้มแข็ง '!E14</f>
        <v>0</v>
      </c>
      <c r="M15" s="93">
        <f>ศาสนา!E14</f>
        <v>0</v>
      </c>
      <c r="N15" s="93">
        <f>'เกษตร '!E14</f>
        <v>0</v>
      </c>
      <c r="O15" s="93">
        <f>พาณิชย์!E14</f>
        <v>79561.289999999994</v>
      </c>
      <c r="P15" s="93">
        <f>งบกลาง!E14</f>
        <v>0</v>
      </c>
      <c r="R15" s="212">
        <v>508954.6</v>
      </c>
      <c r="S15" s="214">
        <f t="shared" si="2"/>
        <v>0</v>
      </c>
      <c r="T15" s="292">
        <f t="shared" si="3"/>
        <v>124045.40000000002</v>
      </c>
      <c r="U15" s="99"/>
      <c r="V15" s="293"/>
      <c r="W15" s="293"/>
      <c r="X15" s="293"/>
      <c r="Y15" s="293"/>
      <c r="Z15" s="293"/>
      <c r="AA15" s="293"/>
      <c r="AB15" s="293"/>
      <c r="AC15" s="294"/>
    </row>
    <row r="16" spans="1:29" s="92" customFormat="1" ht="21.75">
      <c r="A16" s="91" t="s">
        <v>89</v>
      </c>
      <c r="B16" s="93">
        <f>งานบริหารทั่วไป!B15+'รักษาความสงบ '!B15+'การศึกษา '!B15+สาธารณสุข!B15+สังคมสงเคราะห์!B15+'เคหะและชุมชน '!B15+'สร้างความเข้มแข็ง '!B15+ศาสนา!B15+'เกษตร '!B15+พาณิชย์!B15+งบกลาง!B15</f>
        <v>582950</v>
      </c>
      <c r="C16" s="136">
        <f>งานบริหารทั่วไป!C15+'รักษาความสงบ '!C15+'การศึกษา '!C15+สาธารณสุข!C15+สังคมสงเคราะห์!C15+'เคหะและชุมชน '!C15+'สร้างความเข้มแข็ง '!C15+ศาสนา!C15+'เกษตร '!C15+พาณิชย์!C15+งบกลาง!C15</f>
        <v>0</v>
      </c>
      <c r="D16" s="93">
        <f t="shared" si="0"/>
        <v>582950</v>
      </c>
      <c r="E16" s="93">
        <f t="shared" si="1"/>
        <v>483180</v>
      </c>
      <c r="F16" s="93">
        <f>งานบริหารทั่วไป!E15</f>
        <v>188310</v>
      </c>
      <c r="G16" s="93">
        <f>'รักษาความสงบ '!E15</f>
        <v>107800</v>
      </c>
      <c r="H16" s="93">
        <f>'การศึกษา '!E15</f>
        <v>87520</v>
      </c>
      <c r="I16" s="93">
        <f>สาธารณสุข!E15</f>
        <v>0</v>
      </c>
      <c r="J16" s="93">
        <f>สังคมสงเคราะห์!E15</f>
        <v>0</v>
      </c>
      <c r="K16" s="93">
        <f>'เคหะและชุมชน '!E15</f>
        <v>67550</v>
      </c>
      <c r="L16" s="93">
        <f>'สร้างความเข้มแข็ง '!E15</f>
        <v>0</v>
      </c>
      <c r="M16" s="93">
        <f>ศาสนา!E15</f>
        <v>0</v>
      </c>
      <c r="N16" s="93">
        <f>'เกษตร '!E15</f>
        <v>32000</v>
      </c>
      <c r="O16" s="93">
        <f>พาณิชย์!E15</f>
        <v>0</v>
      </c>
      <c r="P16" s="93">
        <f>งบกลาง!E15</f>
        <v>0</v>
      </c>
      <c r="R16" s="212">
        <f>455530+22000+5650</f>
        <v>483180</v>
      </c>
      <c r="S16" s="214">
        <f t="shared" si="2"/>
        <v>0</v>
      </c>
      <c r="T16" s="292">
        <f t="shared" si="3"/>
        <v>99770</v>
      </c>
      <c r="U16" s="99"/>
      <c r="V16" s="293"/>
      <c r="W16" s="293"/>
      <c r="X16" s="293"/>
      <c r="Y16" s="293"/>
      <c r="Z16" s="293"/>
      <c r="AA16" s="293"/>
      <c r="AB16" s="293"/>
      <c r="AC16" s="294"/>
    </row>
    <row r="17" spans="1:29" s="92" customFormat="1" ht="21.75">
      <c r="A17" s="91" t="s">
        <v>90</v>
      </c>
      <c r="B17" s="93">
        <f>งานบริหารทั่วไป!B16+'รักษาความสงบ '!B16+'การศึกษา '!B16+สาธารณสุข!B16+สังคมสงเคราะห์!B16+'เคหะและชุมชน '!B16+'สร้างความเข้มแข็ง '!B16+ศาสนา!B16+'เกษตร '!B16+พาณิชย์!B16+งบกลาง!B16</f>
        <v>9542900</v>
      </c>
      <c r="C17" s="136">
        <f>งานบริหารทั่วไป!C16+'รักษาความสงบ '!C16+'การศึกษา '!C16+สาธารณสุข!C16+สังคมสงเคราะห์!C16+'เคหะและชุมชน '!C16+'สร้างความเข้มแข็ง '!C16+ศาสนา!C16+'เกษตร '!C16+พาณิชย์!C16+งบกลาง!C16</f>
        <v>448000</v>
      </c>
      <c r="D17" s="93">
        <f t="shared" si="0"/>
        <v>9990900</v>
      </c>
      <c r="E17" s="93">
        <f t="shared" si="1"/>
        <v>9919543.6999999993</v>
      </c>
      <c r="F17" s="93">
        <f>งานบริหารทั่วไป!E16</f>
        <v>0</v>
      </c>
      <c r="G17" s="93">
        <f>'รักษาความสงบ '!E16</f>
        <v>277500</v>
      </c>
      <c r="H17" s="93">
        <f>'การศึกษา '!E16</f>
        <v>0</v>
      </c>
      <c r="I17" s="93">
        <f>สาธารณสุข!E16</f>
        <v>0</v>
      </c>
      <c r="J17" s="93">
        <f>สังคมสงเคราะห์!E16</f>
        <v>0</v>
      </c>
      <c r="K17" s="93">
        <f>'เคหะและชุมชน '!E16</f>
        <v>9642043.6999999993</v>
      </c>
      <c r="L17" s="93">
        <f>'สร้างความเข้มแข็ง '!E16</f>
        <v>0</v>
      </c>
      <c r="M17" s="93">
        <f>ศาสนา!E16</f>
        <v>0</v>
      </c>
      <c r="N17" s="93">
        <f>'เกษตร '!E16</f>
        <v>0</v>
      </c>
      <c r="O17" s="93">
        <f>พาณิชย์!E16</f>
        <v>0</v>
      </c>
      <c r="P17" s="93">
        <f>งบกลาง!E16</f>
        <v>0</v>
      </c>
      <c r="R17" s="212">
        <v>9919543.6999999993</v>
      </c>
      <c r="S17" s="214">
        <f t="shared" si="2"/>
        <v>0</v>
      </c>
      <c r="T17" s="292">
        <f t="shared" si="3"/>
        <v>71356.300000000745</v>
      </c>
      <c r="U17" s="99"/>
      <c r="V17" s="293"/>
      <c r="W17" s="293"/>
      <c r="X17" s="293"/>
      <c r="Y17" s="293"/>
      <c r="Z17" s="293"/>
      <c r="AA17" s="293"/>
      <c r="AB17" s="293"/>
      <c r="AC17" s="294"/>
    </row>
    <row r="18" spans="1:29" s="92" customFormat="1" ht="21.75">
      <c r="A18" s="91" t="s">
        <v>91</v>
      </c>
      <c r="B18" s="93">
        <f>งานบริหารทั่วไป!B17+'รักษาความสงบ '!B17+'การศึกษา '!B17+สาธารณสุข!B17+สังคมสงเคราะห์!B17+'เคหะและชุมชน '!B17+'สร้างความเข้มแข็ง '!B17+ศาสนา!B17+'เกษตร '!B17+พาณิชย์!B17+งบกลาง!B17</f>
        <v>2422800</v>
      </c>
      <c r="C18" s="136">
        <f>งานบริหารทั่วไป!C17+'รักษาความสงบ '!C17+'การศึกษา '!C17+สาธารณสุข!C17+สังคมสงเคราะห์!C17+'เคหะและชุมชน '!C17+'สร้างความเข้มแข็ง '!C17+ศาสนา!C17+'เกษตร '!C17+พาณิชย์!C17+งบกลาง!C17</f>
        <v>-107500</v>
      </c>
      <c r="D18" s="93">
        <f t="shared" si="0"/>
        <v>2315300</v>
      </c>
      <c r="E18" s="93">
        <f t="shared" si="1"/>
        <v>2253573.0499999998</v>
      </c>
      <c r="F18" s="93">
        <f>งานบริหารทั่วไป!E17</f>
        <v>0</v>
      </c>
      <c r="G18" s="93">
        <f>'รักษาความสงบ '!E17</f>
        <v>0</v>
      </c>
      <c r="H18" s="93">
        <f>'การศึกษา '!E17</f>
        <v>1437800</v>
      </c>
      <c r="I18" s="93">
        <f>สาธารณสุข!E17</f>
        <v>303220</v>
      </c>
      <c r="J18" s="93">
        <f>สังคมสงเคราะห์!E17</f>
        <v>0</v>
      </c>
      <c r="K18" s="93">
        <f>'เคหะและชุมชน '!E17</f>
        <v>512553.05</v>
      </c>
      <c r="L18" s="93">
        <f>'สร้างความเข้มแข็ง '!E17</f>
        <v>0</v>
      </c>
      <c r="M18" s="93">
        <f>ศาสนา!E17</f>
        <v>0</v>
      </c>
      <c r="N18" s="93">
        <f>'เกษตร '!E17</f>
        <v>0</v>
      </c>
      <c r="O18" s="93">
        <f>พาณิชย์!E17</f>
        <v>0</v>
      </c>
      <c r="P18" s="93">
        <f>งบกลาง!E17</f>
        <v>0</v>
      </c>
      <c r="R18" s="212">
        <v>2253573.0499999998</v>
      </c>
      <c r="S18" s="214">
        <f t="shared" si="2"/>
        <v>0</v>
      </c>
      <c r="T18" s="292">
        <f t="shared" si="3"/>
        <v>61726.950000000186</v>
      </c>
      <c r="U18" s="99"/>
      <c r="V18" s="293"/>
      <c r="W18" s="293"/>
      <c r="X18" s="293"/>
      <c r="Y18" s="293"/>
      <c r="Z18" s="293"/>
      <c r="AA18" s="293"/>
      <c r="AB18" s="293"/>
      <c r="AC18" s="294"/>
    </row>
    <row r="19" spans="1:29" s="92" customFormat="1" ht="21.75">
      <c r="A19" s="94" t="s">
        <v>92</v>
      </c>
      <c r="B19" s="93">
        <f>งานบริหารทั่วไป!B18+'รักษาความสงบ '!B18+'การศึกษา '!B18+สาธารณสุข!B18+สังคมสงเคราะห์!B18+'เคหะและชุมชน '!B18+'สร้างความเข้มแข็ง '!B18+ศาสนา!B18+'เกษตร '!B18+พาณิชย์!B18+งบกลาง!B18</f>
        <v>30000</v>
      </c>
      <c r="C19" s="136">
        <f>งานบริหารทั่วไป!C18+'รักษาความสงบ '!C18+'การศึกษา '!C18+สาธารณสุข!C18+สังคมสงเคราะห์!C18+'เคหะและชุมชน '!C18+'สร้างความเข้มแข็ง '!C18+ศาสนา!C18+'เกษตร '!C18+พาณิชย์!C18+งบกลาง!C18</f>
        <v>0</v>
      </c>
      <c r="D19" s="93">
        <f t="shared" si="0"/>
        <v>30000</v>
      </c>
      <c r="E19" s="93">
        <f t="shared" si="1"/>
        <v>25000</v>
      </c>
      <c r="F19" s="93">
        <f>งานบริหารทั่วไป!E18</f>
        <v>25000</v>
      </c>
      <c r="G19" s="93">
        <f>'รักษาความสงบ '!E18</f>
        <v>0</v>
      </c>
      <c r="H19" s="93">
        <f>'การศึกษา '!E18</f>
        <v>0</v>
      </c>
      <c r="I19" s="93">
        <f>สาธารณสุข!E18</f>
        <v>0</v>
      </c>
      <c r="J19" s="93">
        <f>สังคมสงเคราะห์!E18</f>
        <v>0</v>
      </c>
      <c r="K19" s="93">
        <f>'เคหะและชุมชน '!E18</f>
        <v>0</v>
      </c>
      <c r="L19" s="93">
        <f>'สร้างความเข้มแข็ง '!E18</f>
        <v>0</v>
      </c>
      <c r="M19" s="93">
        <f>ศาสนา!E18</f>
        <v>0</v>
      </c>
      <c r="N19" s="93">
        <f>'เกษตร '!E18</f>
        <v>0</v>
      </c>
      <c r="O19" s="93">
        <f>พาณิชย์!E18</f>
        <v>0</v>
      </c>
      <c r="P19" s="93">
        <f>งบกลาง!E18</f>
        <v>0</v>
      </c>
      <c r="R19" s="212">
        <v>25000</v>
      </c>
      <c r="S19" s="214">
        <f t="shared" si="2"/>
        <v>0</v>
      </c>
      <c r="T19" s="292">
        <f t="shared" si="3"/>
        <v>5000</v>
      </c>
      <c r="U19" s="99"/>
      <c r="V19" s="293"/>
      <c r="W19" s="293"/>
      <c r="X19" s="293"/>
      <c r="Y19" s="293"/>
      <c r="Z19" s="293"/>
      <c r="AA19" s="293"/>
      <c r="AB19" s="293"/>
      <c r="AC19" s="294"/>
    </row>
    <row r="20" spans="1:29" s="92" customFormat="1" ht="22.5" thickBot="1">
      <c r="A20" s="95" t="s">
        <v>36</v>
      </c>
      <c r="B20" s="96">
        <f t="shared" ref="B20:P20" si="4">SUM(B9:B19)</f>
        <v>35603000</v>
      </c>
      <c r="C20" s="96"/>
      <c r="D20" s="96">
        <f t="shared" si="4"/>
        <v>35603000</v>
      </c>
      <c r="E20" s="96">
        <f>SUM(E9:E19)</f>
        <v>30892154.900000002</v>
      </c>
      <c r="F20" s="96">
        <f t="shared" si="4"/>
        <v>9569787.7399999984</v>
      </c>
      <c r="G20" s="96">
        <f t="shared" si="4"/>
        <v>1332968.1200000001</v>
      </c>
      <c r="H20" s="96">
        <f t="shared" si="4"/>
        <v>4685437.25</v>
      </c>
      <c r="I20" s="96">
        <f t="shared" si="4"/>
        <v>518722.2</v>
      </c>
      <c r="J20" s="96">
        <f t="shared" si="4"/>
        <v>0</v>
      </c>
      <c r="K20" s="96">
        <f t="shared" si="4"/>
        <v>12731174.66</v>
      </c>
      <c r="L20" s="96">
        <f t="shared" si="4"/>
        <v>186316.2</v>
      </c>
      <c r="M20" s="96">
        <f t="shared" si="4"/>
        <v>584845</v>
      </c>
      <c r="N20" s="96">
        <f t="shared" si="4"/>
        <v>428880.44</v>
      </c>
      <c r="O20" s="96">
        <f t="shared" si="4"/>
        <v>83329.289999999994</v>
      </c>
      <c r="P20" s="96">
        <f t="shared" si="4"/>
        <v>770694</v>
      </c>
      <c r="T20" s="292">
        <f>SUM(T9:T19)</f>
        <v>4710845.1000000015</v>
      </c>
      <c r="U20" s="99"/>
      <c r="V20" s="293"/>
      <c r="W20" s="293"/>
      <c r="X20" s="293"/>
      <c r="Y20" s="293"/>
      <c r="Z20" s="293"/>
      <c r="AA20" s="293"/>
      <c r="AB20" s="293"/>
      <c r="AC20" s="294"/>
    </row>
    <row r="21" spans="1:29" s="92" customFormat="1" ht="22.5" thickTop="1">
      <c r="A21" s="90" t="s">
        <v>131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T21" s="91"/>
      <c r="U21" s="99"/>
      <c r="V21" s="293"/>
      <c r="W21" s="293"/>
      <c r="X21" s="293"/>
      <c r="Y21" s="293"/>
      <c r="Z21" s="293"/>
      <c r="AA21" s="293"/>
      <c r="AB21" s="293"/>
      <c r="AC21" s="294"/>
    </row>
    <row r="22" spans="1:29" s="92" customFormat="1" ht="21.75">
      <c r="A22" s="91" t="s">
        <v>284</v>
      </c>
      <c r="B22" s="93">
        <v>2522000</v>
      </c>
      <c r="C22" s="93"/>
      <c r="D22" s="170">
        <v>2522000</v>
      </c>
      <c r="E22" s="93">
        <v>3101052.39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T22" s="292">
        <f>E22-D22</f>
        <v>579052.39000000013</v>
      </c>
      <c r="U22" s="99"/>
      <c r="V22" s="293"/>
      <c r="W22" s="293"/>
      <c r="X22" s="293"/>
      <c r="Y22" s="293"/>
      <c r="Z22" s="293"/>
      <c r="AA22" s="293"/>
      <c r="AB22" s="293"/>
      <c r="AC22" s="294"/>
    </row>
    <row r="23" spans="1:29" s="92" customFormat="1" ht="21.75">
      <c r="A23" s="91" t="s">
        <v>177</v>
      </c>
      <c r="B23" s="93">
        <v>19848000</v>
      </c>
      <c r="C23" s="93"/>
      <c r="D23" s="170">
        <v>19848000</v>
      </c>
      <c r="E23" s="93">
        <v>24761804.280000001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T23" s="292">
        <f t="shared" ref="T23:T30" si="5">E23-D23</f>
        <v>4913804.2800000012</v>
      </c>
      <c r="U23" s="99"/>
      <c r="V23" s="293"/>
      <c r="W23" s="293"/>
      <c r="X23" s="293"/>
      <c r="Y23" s="293"/>
      <c r="Z23" s="293"/>
      <c r="AA23" s="293"/>
      <c r="AB23" s="293"/>
      <c r="AC23" s="294"/>
    </row>
    <row r="24" spans="1:29" s="92" customFormat="1" ht="21.75">
      <c r="A24" s="91" t="s">
        <v>178</v>
      </c>
      <c r="B24" s="93">
        <v>416500</v>
      </c>
      <c r="C24" s="93"/>
      <c r="D24" s="170">
        <v>416500</v>
      </c>
      <c r="E24" s="93">
        <v>492208.32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T24" s="292">
        <f t="shared" si="5"/>
        <v>75708.320000000007</v>
      </c>
      <c r="U24" s="99"/>
      <c r="V24" s="293"/>
      <c r="W24" s="293"/>
      <c r="X24" s="293"/>
      <c r="Y24" s="293"/>
      <c r="Z24" s="293"/>
      <c r="AA24" s="293"/>
      <c r="AB24" s="293"/>
      <c r="AC24" s="294"/>
    </row>
    <row r="25" spans="1:29" s="92" customFormat="1" ht="21.75">
      <c r="A25" s="91" t="s">
        <v>179</v>
      </c>
      <c r="B25" s="93">
        <v>370500</v>
      </c>
      <c r="C25" s="93"/>
      <c r="D25" s="170">
        <v>370500</v>
      </c>
      <c r="E25" s="93">
        <v>643384.87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T25" s="292">
        <f t="shared" si="5"/>
        <v>272884.87</v>
      </c>
      <c r="U25" s="99"/>
      <c r="V25" s="293"/>
      <c r="W25" s="293"/>
      <c r="X25" s="293"/>
      <c r="Y25" s="293"/>
      <c r="Z25" s="293"/>
      <c r="AA25" s="293"/>
      <c r="AB25" s="293"/>
      <c r="AC25" s="294"/>
    </row>
    <row r="26" spans="1:29" s="92" customFormat="1" ht="21.75">
      <c r="A26" s="91" t="s">
        <v>180</v>
      </c>
      <c r="B26" s="93">
        <v>181000</v>
      </c>
      <c r="C26" s="93"/>
      <c r="D26" s="170">
        <v>181000</v>
      </c>
      <c r="E26" s="93">
        <v>199185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T26" s="292">
        <f t="shared" si="5"/>
        <v>18185</v>
      </c>
      <c r="U26" s="99"/>
      <c r="V26" s="293"/>
      <c r="W26" s="293"/>
      <c r="X26" s="293"/>
      <c r="Y26" s="293"/>
      <c r="Z26" s="293"/>
      <c r="AA26" s="293"/>
      <c r="AB26" s="293"/>
      <c r="AC26" s="294"/>
    </row>
    <row r="27" spans="1:29" s="92" customFormat="1" ht="21.75">
      <c r="A27" s="91" t="s">
        <v>181</v>
      </c>
      <c r="B27" s="93">
        <v>255000</v>
      </c>
      <c r="C27" s="93"/>
      <c r="D27" s="170">
        <v>255000</v>
      </c>
      <c r="E27" s="93">
        <v>208076.4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T27" s="292">
        <f t="shared" si="5"/>
        <v>-46923.600000000006</v>
      </c>
      <c r="U27" s="99"/>
      <c r="V27" s="293"/>
      <c r="W27" s="293"/>
      <c r="X27" s="293"/>
      <c r="Y27" s="293"/>
      <c r="Z27" s="293"/>
      <c r="AA27" s="293"/>
      <c r="AB27" s="293"/>
      <c r="AC27" s="294"/>
    </row>
    <row r="28" spans="1:29" s="92" customFormat="1" ht="21.75">
      <c r="A28" s="91" t="s">
        <v>203</v>
      </c>
      <c r="B28" s="93">
        <v>10000</v>
      </c>
      <c r="C28" s="93"/>
      <c r="D28" s="170">
        <v>10000</v>
      </c>
      <c r="E28" s="93">
        <v>44000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T28" s="292">
        <f t="shared" si="5"/>
        <v>34000</v>
      </c>
      <c r="U28" s="99"/>
      <c r="V28" s="293"/>
      <c r="W28" s="293"/>
      <c r="X28" s="293"/>
      <c r="Y28" s="293"/>
      <c r="Z28" s="293"/>
      <c r="AA28" s="293"/>
      <c r="AB28" s="293"/>
      <c r="AC28" s="294"/>
    </row>
    <row r="29" spans="1:29" s="92" customFormat="1" ht="21.75">
      <c r="A29" s="91" t="s">
        <v>182</v>
      </c>
      <c r="B29" s="93">
        <v>12000000</v>
      </c>
      <c r="C29" s="93"/>
      <c r="D29" s="170">
        <v>12000000</v>
      </c>
      <c r="E29" s="93">
        <v>11881948.029999999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T29" s="292">
        <f t="shared" si="5"/>
        <v>-118051.97000000067</v>
      </c>
      <c r="U29" s="99"/>
      <c r="V29" s="293"/>
      <c r="W29" s="293"/>
      <c r="X29" s="293"/>
      <c r="Y29" s="293"/>
      <c r="Z29" s="293"/>
      <c r="AA29" s="293"/>
      <c r="AB29" s="293"/>
      <c r="AC29" s="294"/>
    </row>
    <row r="30" spans="1:29" s="92" customFormat="1" ht="22.5" thickBot="1">
      <c r="A30" s="98" t="s">
        <v>132</v>
      </c>
      <c r="B30" s="96">
        <f>SUM(B22:B29)</f>
        <v>35603000</v>
      </c>
      <c r="C30" s="96"/>
      <c r="D30" s="96">
        <f>SUM(D22:D29)</f>
        <v>35603000</v>
      </c>
      <c r="E30" s="96">
        <f>SUM(E22:E29)</f>
        <v>41331659.289999999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T30" s="292">
        <f t="shared" si="5"/>
        <v>5728659.2899999991</v>
      </c>
      <c r="U30" s="99"/>
      <c r="V30" s="293"/>
      <c r="W30" s="293"/>
      <c r="X30" s="293"/>
      <c r="Y30" s="293"/>
      <c r="Z30" s="293"/>
      <c r="AA30" s="293"/>
      <c r="AB30" s="293"/>
      <c r="AC30" s="294"/>
    </row>
    <row r="31" spans="1:29" s="92" customFormat="1" ht="23.25" thickTop="1" thickBot="1">
      <c r="A31" s="99" t="s">
        <v>133</v>
      </c>
      <c r="B31" s="137"/>
      <c r="C31" s="137"/>
      <c r="D31" s="138"/>
      <c r="E31" s="139">
        <f>SUM(E30-E20)</f>
        <v>10439504.389999997</v>
      </c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1:29" ht="24.75" thickTop="1"/>
    <row r="34" spans="5:5">
      <c r="E34" s="102"/>
    </row>
  </sheetData>
  <mergeCells count="4">
    <mergeCell ref="A1:P1"/>
    <mergeCell ref="A2:P2"/>
    <mergeCell ref="A3:P3"/>
    <mergeCell ref="A4:P4"/>
  </mergeCells>
  <pageMargins left="0.49" right="0.17" top="0.81" bottom="0.19685039370078741" header="0.55000000000000004" footer="0.51181102362204722"/>
  <pageSetup paperSize="9" scale="7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1"/>
    </sheetView>
  </sheetViews>
  <sheetFormatPr defaultRowHeight="24"/>
  <cols>
    <col min="1" max="16384" width="9.140625" style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topLeftCell="A7" workbookViewId="0">
      <selection activeCell="H9" sqref="H9"/>
    </sheetView>
  </sheetViews>
  <sheetFormatPr defaultRowHeight="21.75"/>
  <cols>
    <col min="1" max="1" width="32" style="229" customWidth="1"/>
    <col min="2" max="2" width="15.140625" style="229" customWidth="1"/>
    <col min="3" max="3" width="30.42578125" style="229" customWidth="1"/>
    <col min="4" max="4" width="15.7109375" style="229" customWidth="1"/>
    <col min="5" max="16384" width="9.140625" style="229"/>
  </cols>
  <sheetData>
    <row r="1" spans="1:4">
      <c r="D1" s="291" t="s">
        <v>361</v>
      </c>
    </row>
    <row r="2" spans="1:4" ht="27.75">
      <c r="A2" s="305" t="s">
        <v>0</v>
      </c>
      <c r="B2" s="305"/>
      <c r="C2" s="305"/>
      <c r="D2" s="305"/>
    </row>
    <row r="3" spans="1:4" ht="27.75">
      <c r="A3" s="305" t="s">
        <v>72</v>
      </c>
      <c r="B3" s="305"/>
      <c r="C3" s="305"/>
      <c r="D3" s="305"/>
    </row>
    <row r="4" spans="1:4" ht="27.75">
      <c r="A4" s="305" t="s">
        <v>362</v>
      </c>
      <c r="B4" s="305"/>
      <c r="C4" s="305"/>
      <c r="D4" s="305"/>
    </row>
    <row r="5" spans="1:4" ht="27.75">
      <c r="A5" s="305" t="s">
        <v>363</v>
      </c>
      <c r="B5" s="305"/>
      <c r="C5" s="305"/>
      <c r="D5" s="305"/>
    </row>
    <row r="6" spans="1:4" ht="24">
      <c r="A6" s="309" t="s">
        <v>364</v>
      </c>
      <c r="B6" s="309" t="s">
        <v>365</v>
      </c>
      <c r="C6" s="306" t="s">
        <v>366</v>
      </c>
      <c r="D6" s="307"/>
    </row>
    <row r="7" spans="1:4" ht="24">
      <c r="A7" s="310"/>
      <c r="B7" s="310"/>
      <c r="C7" s="233" t="s">
        <v>367</v>
      </c>
      <c r="D7" s="233" t="s">
        <v>46</v>
      </c>
    </row>
    <row r="8" spans="1:4" ht="24">
      <c r="A8" s="234" t="s">
        <v>368</v>
      </c>
      <c r="B8" s="235"/>
      <c r="C8" s="235"/>
      <c r="D8" s="235"/>
    </row>
    <row r="9" spans="1:4" ht="24">
      <c r="A9" s="235" t="s">
        <v>369</v>
      </c>
      <c r="B9" s="236">
        <v>3330000</v>
      </c>
      <c r="C9" s="235" t="s">
        <v>370</v>
      </c>
      <c r="D9" s="237">
        <v>16138885.640000001</v>
      </c>
    </row>
    <row r="10" spans="1:4" ht="24">
      <c r="A10" s="235" t="s">
        <v>371</v>
      </c>
      <c r="B10" s="236">
        <v>7494233</v>
      </c>
      <c r="C10" s="235" t="s">
        <v>372</v>
      </c>
      <c r="D10" s="237">
        <v>5297465.3600000003</v>
      </c>
    </row>
    <row r="11" spans="1:4" ht="24">
      <c r="A11" s="235" t="s">
        <v>373</v>
      </c>
      <c r="B11" s="236">
        <v>736816</v>
      </c>
      <c r="C11" s="235" t="s">
        <v>374</v>
      </c>
      <c r="D11" s="237">
        <v>320750</v>
      </c>
    </row>
    <row r="12" spans="1:4" ht="24">
      <c r="A12" s="235" t="s">
        <v>375</v>
      </c>
      <c r="B12" s="236">
        <v>75000</v>
      </c>
      <c r="C12" s="235" t="s">
        <v>376</v>
      </c>
      <c r="D12" s="237">
        <v>99970</v>
      </c>
    </row>
    <row r="13" spans="1:4" ht="24">
      <c r="A13" s="235" t="s">
        <v>377</v>
      </c>
      <c r="B13" s="236">
        <v>113000</v>
      </c>
      <c r="C13" s="238" t="s">
        <v>378</v>
      </c>
      <c r="D13" s="239">
        <v>50000</v>
      </c>
    </row>
    <row r="14" spans="1:4" ht="24">
      <c r="A14" s="235" t="s">
        <v>379</v>
      </c>
      <c r="B14" s="236">
        <v>755600</v>
      </c>
      <c r="C14" s="235" t="s">
        <v>380</v>
      </c>
      <c r="D14" s="237">
        <v>50000</v>
      </c>
    </row>
    <row r="15" spans="1:4" ht="24">
      <c r="A15" s="234" t="s">
        <v>381</v>
      </c>
      <c r="B15" s="235"/>
      <c r="C15" s="235" t="s">
        <v>382</v>
      </c>
      <c r="D15" s="240">
        <v>103400</v>
      </c>
    </row>
    <row r="16" spans="1:4" ht="24">
      <c r="A16" s="235" t="s">
        <v>383</v>
      </c>
      <c r="B16" s="236">
        <v>3272892</v>
      </c>
      <c r="C16" s="235"/>
      <c r="D16" s="235"/>
    </row>
    <row r="17" spans="1:4" ht="24">
      <c r="A17" s="235" t="s">
        <v>384</v>
      </c>
      <c r="B17" s="241">
        <v>5281150</v>
      </c>
      <c r="C17" s="235"/>
      <c r="D17" s="235"/>
    </row>
    <row r="18" spans="1:4" ht="24">
      <c r="A18" s="235" t="s">
        <v>385</v>
      </c>
      <c r="B18" s="236">
        <v>71500</v>
      </c>
      <c r="C18" s="235"/>
      <c r="D18" s="235"/>
    </row>
    <row r="19" spans="1:4" ht="24">
      <c r="A19" s="242" t="s">
        <v>386</v>
      </c>
      <c r="B19" s="236">
        <v>37490</v>
      </c>
      <c r="C19" s="235"/>
      <c r="D19" s="235"/>
    </row>
    <row r="20" spans="1:4" ht="24">
      <c r="A20" s="235" t="s">
        <v>387</v>
      </c>
      <c r="B20" s="236">
        <v>397500</v>
      </c>
      <c r="C20" s="235"/>
      <c r="D20" s="235"/>
    </row>
    <row r="21" spans="1:4" ht="24">
      <c r="A21" s="235" t="s">
        <v>388</v>
      </c>
      <c r="B21" s="236">
        <v>70000</v>
      </c>
      <c r="C21" s="235"/>
      <c r="D21" s="235"/>
    </row>
    <row r="22" spans="1:4" ht="24">
      <c r="A22" s="235" t="s">
        <v>389</v>
      </c>
      <c r="B22" s="236">
        <v>57650</v>
      </c>
      <c r="C22" s="235"/>
      <c r="D22" s="235"/>
    </row>
    <row r="23" spans="1:4" ht="24">
      <c r="A23" s="243" t="s">
        <v>456</v>
      </c>
      <c r="B23" s="244">
        <v>17000</v>
      </c>
      <c r="C23" s="235"/>
      <c r="D23" s="235"/>
    </row>
    <row r="24" spans="1:4" ht="24">
      <c r="A24" s="243" t="s">
        <v>457</v>
      </c>
      <c r="B24" s="244">
        <v>44000</v>
      </c>
      <c r="C24" s="235"/>
      <c r="D24" s="235"/>
    </row>
    <row r="25" spans="1:4" ht="24">
      <c r="A25" s="243" t="s">
        <v>458</v>
      </c>
      <c r="B25" s="244">
        <v>225940</v>
      </c>
      <c r="C25" s="235"/>
      <c r="D25" s="235"/>
    </row>
    <row r="26" spans="1:4" ht="24">
      <c r="A26" s="243" t="s">
        <v>459</v>
      </c>
      <c r="B26" s="244">
        <v>36000</v>
      </c>
      <c r="C26" s="235"/>
      <c r="D26" s="235"/>
    </row>
    <row r="27" spans="1:4" ht="24">
      <c r="A27" s="245" t="s">
        <v>460</v>
      </c>
      <c r="B27" s="239">
        <v>44700</v>
      </c>
      <c r="C27" s="235"/>
      <c r="D27" s="235"/>
    </row>
    <row r="28" spans="1:4" ht="24">
      <c r="A28" s="235"/>
      <c r="B28" s="236"/>
      <c r="C28" s="235"/>
      <c r="D28" s="235"/>
    </row>
    <row r="29" spans="1:4" ht="24.75" thickBot="1">
      <c r="A29" s="233" t="s">
        <v>36</v>
      </c>
      <c r="B29" s="246">
        <f>SUM(B9:B28)</f>
        <v>22060471</v>
      </c>
      <c r="C29" s="247"/>
      <c r="D29" s="246">
        <f>SUM(D9:D28)</f>
        <v>22060471</v>
      </c>
    </row>
    <row r="30" spans="1:4" ht="24.75" thickTop="1">
      <c r="A30" s="238"/>
      <c r="B30" s="238"/>
      <c r="C30" s="238"/>
      <c r="D30" s="238"/>
    </row>
    <row r="31" spans="1:4" ht="24">
      <c r="A31" s="238"/>
      <c r="B31" s="238"/>
      <c r="C31" s="238"/>
      <c r="D31" s="238"/>
    </row>
    <row r="32" spans="1:4" ht="24">
      <c r="A32" s="238"/>
      <c r="B32" s="238"/>
      <c r="C32" s="238"/>
      <c r="D32" s="238"/>
    </row>
    <row r="33" spans="1:4" ht="24">
      <c r="A33" s="238" t="s">
        <v>394</v>
      </c>
      <c r="B33" s="238"/>
      <c r="C33" s="238"/>
      <c r="D33" s="238"/>
    </row>
    <row r="34" spans="1:4" ht="24">
      <c r="A34" s="248" t="s">
        <v>395</v>
      </c>
      <c r="B34" s="248" t="s">
        <v>396</v>
      </c>
      <c r="C34" s="248"/>
      <c r="D34" s="248"/>
    </row>
    <row r="35" spans="1:4" ht="24">
      <c r="A35" s="238"/>
      <c r="B35" s="238"/>
      <c r="C35" s="238"/>
      <c r="D35" s="238"/>
    </row>
    <row r="36" spans="1:4" ht="24">
      <c r="A36" s="238"/>
      <c r="B36" s="238"/>
      <c r="C36" s="238"/>
      <c r="D36" s="238"/>
    </row>
    <row r="37" spans="1:4" ht="24">
      <c r="A37" s="238"/>
      <c r="B37" s="238"/>
      <c r="C37" s="238"/>
      <c r="D37" s="238"/>
    </row>
    <row r="38" spans="1:4" ht="24">
      <c r="A38" s="238"/>
      <c r="B38" s="238"/>
      <c r="C38" s="238"/>
      <c r="D38" s="238"/>
    </row>
    <row r="39" spans="1:4" ht="24">
      <c r="A39" s="238"/>
      <c r="B39" s="238"/>
      <c r="C39" s="238"/>
      <c r="D39" s="238"/>
    </row>
    <row r="40" spans="1:4" ht="24">
      <c r="A40" s="238"/>
      <c r="B40" s="238"/>
      <c r="C40" s="238"/>
      <c r="D40" s="238"/>
    </row>
    <row r="41" spans="1:4">
      <c r="A41" s="249"/>
      <c r="B41" s="249"/>
      <c r="C41" s="249"/>
      <c r="D41" s="249"/>
    </row>
    <row r="42" spans="1:4">
      <c r="A42" s="249"/>
      <c r="B42" s="249"/>
      <c r="C42" s="249"/>
      <c r="D42" s="250"/>
    </row>
    <row r="43" spans="1:4" ht="24">
      <c r="A43" s="308"/>
      <c r="B43" s="308"/>
      <c r="C43" s="308"/>
      <c r="D43" s="308"/>
    </row>
    <row r="44" spans="1:4" ht="24">
      <c r="A44" s="308"/>
      <c r="B44" s="308"/>
      <c r="C44" s="308"/>
      <c r="D44" s="308"/>
    </row>
    <row r="45" spans="1:4" ht="24">
      <c r="A45" s="308"/>
      <c r="B45" s="308"/>
      <c r="C45" s="308"/>
      <c r="D45" s="308"/>
    </row>
    <row r="46" spans="1:4">
      <c r="A46" s="251"/>
      <c r="B46" s="251"/>
      <c r="C46" s="311"/>
      <c r="D46" s="311"/>
    </row>
    <row r="47" spans="1:4">
      <c r="A47" s="251"/>
      <c r="B47" s="251"/>
      <c r="C47" s="251"/>
      <c r="D47" s="251"/>
    </row>
    <row r="48" spans="1:4">
      <c r="A48" s="252"/>
      <c r="B48" s="252"/>
      <c r="C48" s="252"/>
      <c r="D48" s="252"/>
    </row>
    <row r="49" spans="1:4">
      <c r="A49" s="252"/>
      <c r="B49" s="253"/>
      <c r="C49" s="252"/>
      <c r="D49" s="253"/>
    </row>
    <row r="50" spans="1:4">
      <c r="A50" s="252"/>
      <c r="B50" s="253"/>
      <c r="C50" s="252"/>
      <c r="D50" s="253"/>
    </row>
    <row r="51" spans="1:4">
      <c r="A51" s="252"/>
      <c r="B51" s="253"/>
      <c r="C51" s="252"/>
      <c r="D51" s="254"/>
    </row>
    <row r="52" spans="1:4">
      <c r="A52" s="252"/>
      <c r="B52" s="253"/>
      <c r="C52" s="252"/>
      <c r="D52" s="253"/>
    </row>
    <row r="53" spans="1:4">
      <c r="A53" s="252"/>
      <c r="B53" s="253"/>
      <c r="C53" s="252"/>
      <c r="D53" s="253"/>
    </row>
    <row r="54" spans="1:4">
      <c r="A54" s="252"/>
      <c r="B54" s="253"/>
      <c r="C54" s="252"/>
      <c r="D54" s="253"/>
    </row>
    <row r="55" spans="1:4">
      <c r="A55" s="252"/>
      <c r="B55" s="253"/>
      <c r="C55" s="252"/>
      <c r="D55" s="253"/>
    </row>
    <row r="56" spans="1:4">
      <c r="A56" s="252"/>
      <c r="B56" s="252"/>
      <c r="C56" s="252"/>
      <c r="D56" s="252"/>
    </row>
    <row r="57" spans="1:4">
      <c r="A57" s="252"/>
      <c r="B57" s="253"/>
      <c r="C57" s="252"/>
      <c r="D57" s="252"/>
    </row>
    <row r="58" spans="1:4">
      <c r="A58" s="252"/>
      <c r="B58" s="252"/>
      <c r="C58" s="252"/>
      <c r="D58" s="252"/>
    </row>
    <row r="59" spans="1:4">
      <c r="A59" s="252"/>
      <c r="B59" s="253"/>
      <c r="C59" s="252"/>
      <c r="D59" s="252"/>
    </row>
    <row r="60" spans="1:4">
      <c r="A60" s="252"/>
      <c r="B60" s="253"/>
      <c r="C60" s="252"/>
      <c r="D60" s="252"/>
    </row>
    <row r="61" spans="1:4">
      <c r="A61" s="252"/>
      <c r="B61" s="253"/>
      <c r="C61" s="252"/>
      <c r="D61" s="252"/>
    </row>
    <row r="62" spans="1:4">
      <c r="A62" s="252"/>
      <c r="B62" s="253"/>
      <c r="C62" s="252"/>
      <c r="D62" s="252"/>
    </row>
    <row r="63" spans="1:4">
      <c r="A63" s="252"/>
      <c r="B63" s="253"/>
      <c r="C63" s="252"/>
      <c r="D63" s="252"/>
    </row>
    <row r="64" spans="1:4">
      <c r="A64" s="252"/>
      <c r="B64" s="253"/>
      <c r="C64" s="252"/>
      <c r="D64" s="252"/>
    </row>
    <row r="65" spans="1:4">
      <c r="A65" s="252"/>
      <c r="B65" s="253"/>
      <c r="C65" s="252"/>
      <c r="D65" s="252"/>
    </row>
    <row r="66" spans="1:4">
      <c r="A66" s="252"/>
      <c r="B66" s="252"/>
      <c r="C66" s="252"/>
      <c r="D66" s="252"/>
    </row>
    <row r="67" spans="1:4">
      <c r="A67" s="254"/>
      <c r="B67" s="255"/>
      <c r="C67" s="252"/>
      <c r="D67" s="255"/>
    </row>
    <row r="68" spans="1:4">
      <c r="A68" s="252"/>
      <c r="B68" s="252"/>
      <c r="C68" s="252"/>
      <c r="D68" s="252"/>
    </row>
    <row r="69" spans="1:4">
      <c r="A69" s="252"/>
      <c r="B69" s="252"/>
      <c r="C69" s="252"/>
      <c r="D69" s="252"/>
    </row>
    <row r="70" spans="1:4">
      <c r="A70" s="252"/>
      <c r="B70" s="252"/>
      <c r="C70" s="252"/>
      <c r="D70" s="252"/>
    </row>
    <row r="71" spans="1:4">
      <c r="A71" s="252"/>
      <c r="B71" s="252"/>
      <c r="C71" s="252"/>
      <c r="D71" s="252"/>
    </row>
    <row r="72" spans="1:4">
      <c r="A72" s="252"/>
      <c r="B72" s="252"/>
      <c r="C72" s="252"/>
      <c r="D72" s="252"/>
    </row>
    <row r="73" spans="1:4">
      <c r="A73" s="252"/>
      <c r="B73" s="252"/>
      <c r="C73" s="252"/>
      <c r="D73" s="252"/>
    </row>
    <row r="74" spans="1:4">
      <c r="A74" s="252"/>
      <c r="B74" s="252"/>
      <c r="C74" s="252"/>
      <c r="D74" s="252"/>
    </row>
    <row r="75" spans="1:4">
      <c r="A75" s="252"/>
      <c r="B75" s="252"/>
      <c r="C75" s="252"/>
      <c r="D75" s="252"/>
    </row>
    <row r="76" spans="1:4">
      <c r="A76" s="252"/>
      <c r="B76" s="252"/>
      <c r="C76" s="252"/>
      <c r="D76" s="252"/>
    </row>
    <row r="77" spans="1:4">
      <c r="A77" s="252"/>
      <c r="B77" s="252"/>
      <c r="C77" s="252"/>
      <c r="D77" s="252"/>
    </row>
    <row r="78" spans="1:4">
      <c r="D78" s="256" t="s">
        <v>71</v>
      </c>
    </row>
    <row r="79" spans="1:4" ht="23.25">
      <c r="A79" s="312" t="s">
        <v>397</v>
      </c>
      <c r="B79" s="312"/>
      <c r="C79" s="312"/>
      <c r="D79" s="312"/>
    </row>
    <row r="80" spans="1:4" ht="23.25">
      <c r="A80" s="312" t="s">
        <v>362</v>
      </c>
      <c r="B80" s="312"/>
      <c r="C80" s="312"/>
      <c r="D80" s="312"/>
    </row>
    <row r="81" spans="1:5" ht="23.25">
      <c r="A81" s="312" t="s">
        <v>398</v>
      </c>
      <c r="B81" s="312"/>
      <c r="C81" s="312"/>
      <c r="D81" s="312"/>
      <c r="E81" s="229" t="s">
        <v>17</v>
      </c>
    </row>
    <row r="82" spans="1:5">
      <c r="A82" s="257" t="s">
        <v>364</v>
      </c>
      <c r="B82" s="257" t="s">
        <v>365</v>
      </c>
      <c r="C82" s="303" t="s">
        <v>366</v>
      </c>
      <c r="D82" s="304"/>
    </row>
    <row r="83" spans="1:5">
      <c r="A83" s="258" t="s">
        <v>17</v>
      </c>
      <c r="B83" s="258" t="s">
        <v>399</v>
      </c>
      <c r="C83" s="258" t="s">
        <v>367</v>
      </c>
      <c r="D83" s="258" t="s">
        <v>46</v>
      </c>
    </row>
    <row r="84" spans="1:5">
      <c r="A84" s="259" t="s">
        <v>368</v>
      </c>
      <c r="B84" s="259"/>
      <c r="C84" s="259"/>
      <c r="D84" s="259"/>
    </row>
    <row r="85" spans="1:5">
      <c r="A85" s="259" t="s">
        <v>369</v>
      </c>
      <c r="B85" s="260">
        <v>4410000</v>
      </c>
      <c r="C85" s="259" t="s">
        <v>370</v>
      </c>
      <c r="D85" s="260">
        <v>10249649</v>
      </c>
    </row>
    <row r="86" spans="1:5">
      <c r="A86" s="259" t="s">
        <v>400</v>
      </c>
      <c r="B86" s="260">
        <v>264350</v>
      </c>
      <c r="C86" s="259" t="s">
        <v>401</v>
      </c>
      <c r="D86" s="260">
        <v>3092000</v>
      </c>
    </row>
    <row r="87" spans="1:5">
      <c r="A87" s="259" t="s">
        <v>402</v>
      </c>
      <c r="B87" s="260">
        <v>1993040</v>
      </c>
      <c r="C87" s="259" t="s">
        <v>403</v>
      </c>
      <c r="D87" s="261">
        <v>1455400</v>
      </c>
    </row>
    <row r="88" spans="1:5">
      <c r="A88" s="259" t="s">
        <v>404</v>
      </c>
      <c r="B88" s="260">
        <v>8412</v>
      </c>
      <c r="C88" s="259" t="s">
        <v>405</v>
      </c>
      <c r="D88" s="260">
        <v>22700</v>
      </c>
    </row>
    <row r="89" spans="1:5">
      <c r="A89" s="259" t="s">
        <v>406</v>
      </c>
      <c r="B89" s="260">
        <v>253000</v>
      </c>
      <c r="C89" s="229" t="s">
        <v>407</v>
      </c>
      <c r="D89" s="260">
        <v>150000</v>
      </c>
    </row>
    <row r="90" spans="1:5">
      <c r="A90" s="259" t="s">
        <v>408</v>
      </c>
      <c r="B90" s="260">
        <v>297000</v>
      </c>
      <c r="C90" s="259"/>
      <c r="D90" s="260"/>
    </row>
    <row r="91" spans="1:5">
      <c r="A91" s="259" t="s">
        <v>409</v>
      </c>
      <c r="B91" s="260">
        <v>354400</v>
      </c>
      <c r="C91" s="259" t="s">
        <v>17</v>
      </c>
      <c r="D91" s="260" t="s">
        <v>17</v>
      </c>
    </row>
    <row r="92" spans="1:5">
      <c r="A92" s="259"/>
      <c r="B92" s="260"/>
      <c r="C92" s="259"/>
      <c r="D92" s="260"/>
    </row>
    <row r="93" spans="1:5">
      <c r="A93" s="259"/>
      <c r="B93" s="260"/>
      <c r="C93" s="259"/>
      <c r="D93" s="260"/>
    </row>
    <row r="94" spans="1:5">
      <c r="A94" s="259" t="s">
        <v>381</v>
      </c>
      <c r="B94" s="259"/>
      <c r="C94" s="259"/>
      <c r="D94" s="259"/>
    </row>
    <row r="95" spans="1:5">
      <c r="A95" s="259" t="s">
        <v>410</v>
      </c>
      <c r="B95" s="260">
        <v>5122500</v>
      </c>
      <c r="C95" s="259"/>
      <c r="D95" s="259"/>
    </row>
    <row r="96" spans="1:5">
      <c r="A96" s="259" t="s">
        <v>411</v>
      </c>
      <c r="B96" s="259"/>
      <c r="C96" s="259"/>
      <c r="D96" s="259"/>
    </row>
    <row r="97" spans="1:4">
      <c r="A97" s="259" t="s">
        <v>412</v>
      </c>
      <c r="B97" s="260">
        <v>285470</v>
      </c>
      <c r="C97" s="259"/>
      <c r="D97" s="259"/>
    </row>
    <row r="98" spans="1:4">
      <c r="A98" s="259" t="s">
        <v>413</v>
      </c>
      <c r="B98" s="260">
        <v>109040</v>
      </c>
      <c r="C98" s="259"/>
      <c r="D98" s="259"/>
    </row>
    <row r="99" spans="1:4">
      <c r="A99" s="259" t="s">
        <v>414</v>
      </c>
      <c r="B99" s="260">
        <v>151000</v>
      </c>
      <c r="C99" s="259"/>
      <c r="D99" s="259"/>
    </row>
    <row r="100" spans="1:4">
      <c r="A100" s="259" t="s">
        <v>415</v>
      </c>
      <c r="B100" s="260">
        <v>67500</v>
      </c>
      <c r="C100" s="259"/>
      <c r="D100" s="259"/>
    </row>
    <row r="101" spans="1:4">
      <c r="A101" s="259" t="s">
        <v>416</v>
      </c>
      <c r="B101" s="260">
        <v>59800</v>
      </c>
      <c r="C101" s="259"/>
      <c r="D101" s="259"/>
    </row>
    <row r="102" spans="1:4">
      <c r="A102" s="259" t="s">
        <v>417</v>
      </c>
      <c r="B102" s="260">
        <v>180655</v>
      </c>
      <c r="C102" s="259"/>
      <c r="D102" s="259"/>
    </row>
    <row r="103" spans="1:4">
      <c r="A103" s="259" t="s">
        <v>418</v>
      </c>
      <c r="B103" s="260">
        <v>1413582</v>
      </c>
      <c r="C103" s="259"/>
      <c r="D103" s="259"/>
    </row>
    <row r="104" spans="1:4">
      <c r="A104" s="259"/>
      <c r="B104" s="260"/>
      <c r="C104" s="259"/>
      <c r="D104" s="259"/>
    </row>
    <row r="105" spans="1:4">
      <c r="A105" s="259"/>
      <c r="B105" s="260"/>
      <c r="C105" s="259"/>
      <c r="D105" s="259"/>
    </row>
    <row r="106" spans="1:4">
      <c r="A106" s="259"/>
      <c r="B106" s="259"/>
      <c r="C106" s="259"/>
      <c r="D106" s="259"/>
    </row>
    <row r="107" spans="1:4" ht="22.5" thickBot="1">
      <c r="A107" s="262" t="s">
        <v>36</v>
      </c>
      <c r="B107" s="263">
        <f>SUM(B85:B106)</f>
        <v>14969749</v>
      </c>
      <c r="C107" s="264"/>
      <c r="D107" s="263">
        <f>SUM(D85:D106)</f>
        <v>14969749</v>
      </c>
    </row>
    <row r="108" spans="1:4" ht="22.5" thickTop="1"/>
    <row r="114" spans="1:4">
      <c r="D114" s="256" t="s">
        <v>71</v>
      </c>
    </row>
    <row r="115" spans="1:4" ht="23.25">
      <c r="A115" s="312" t="s">
        <v>397</v>
      </c>
      <c r="B115" s="312"/>
      <c r="C115" s="312"/>
      <c r="D115" s="312"/>
    </row>
    <row r="116" spans="1:4" ht="23.25">
      <c r="A116" s="312" t="s">
        <v>362</v>
      </c>
      <c r="B116" s="312"/>
      <c r="C116" s="312"/>
      <c r="D116" s="312"/>
    </row>
    <row r="117" spans="1:4" ht="23.25">
      <c r="A117" s="312" t="s">
        <v>419</v>
      </c>
      <c r="B117" s="312"/>
      <c r="C117" s="312"/>
      <c r="D117" s="312"/>
    </row>
    <row r="118" spans="1:4">
      <c r="A118" s="257" t="s">
        <v>364</v>
      </c>
      <c r="B118" s="257" t="s">
        <v>365</v>
      </c>
      <c r="C118" s="303" t="s">
        <v>366</v>
      </c>
      <c r="D118" s="304"/>
    </row>
    <row r="119" spans="1:4">
      <c r="A119" s="258" t="s">
        <v>17</v>
      </c>
      <c r="B119" s="258" t="s">
        <v>420</v>
      </c>
      <c r="C119" s="258" t="s">
        <v>367</v>
      </c>
      <c r="D119" s="258" t="s">
        <v>46</v>
      </c>
    </row>
    <row r="120" spans="1:4">
      <c r="A120" s="259" t="s">
        <v>368</v>
      </c>
      <c r="B120" s="259"/>
      <c r="C120" s="259"/>
      <c r="D120" s="259"/>
    </row>
    <row r="121" spans="1:4">
      <c r="A121" s="259" t="s">
        <v>369</v>
      </c>
      <c r="B121" s="260">
        <v>4410000</v>
      </c>
      <c r="C121" s="259" t="s">
        <v>370</v>
      </c>
      <c r="D121" s="260">
        <v>13897641</v>
      </c>
    </row>
    <row r="122" spans="1:4">
      <c r="A122" s="259" t="s">
        <v>400</v>
      </c>
      <c r="B122" s="260">
        <v>350929</v>
      </c>
      <c r="C122" s="259" t="s">
        <v>401</v>
      </c>
      <c r="D122" s="260">
        <v>3092000</v>
      </c>
    </row>
    <row r="123" spans="1:4">
      <c r="A123" s="259" t="s">
        <v>402</v>
      </c>
      <c r="B123" s="260">
        <v>1993040</v>
      </c>
      <c r="C123" s="259" t="s">
        <v>403</v>
      </c>
      <c r="D123" s="261">
        <v>1251000</v>
      </c>
    </row>
    <row r="124" spans="1:4">
      <c r="A124" s="259" t="s">
        <v>404</v>
      </c>
      <c r="B124" s="260">
        <v>8412</v>
      </c>
      <c r="C124" s="259" t="s">
        <v>405</v>
      </c>
      <c r="D124" s="260">
        <v>22700</v>
      </c>
    </row>
    <row r="125" spans="1:4">
      <c r="A125" s="259" t="s">
        <v>406</v>
      </c>
      <c r="B125" s="260">
        <v>1292500</v>
      </c>
      <c r="D125" s="260"/>
    </row>
    <row r="126" spans="1:4">
      <c r="A126" s="259" t="s">
        <v>408</v>
      </c>
      <c r="B126" s="260">
        <v>297000</v>
      </c>
      <c r="C126" s="259"/>
      <c r="D126" s="260"/>
    </row>
    <row r="127" spans="1:4">
      <c r="A127" s="259" t="s">
        <v>421</v>
      </c>
      <c r="B127" s="260">
        <v>253000</v>
      </c>
      <c r="C127" s="259" t="s">
        <v>17</v>
      </c>
      <c r="D127" s="260" t="s">
        <v>17</v>
      </c>
    </row>
    <row r="128" spans="1:4">
      <c r="A128" s="259"/>
      <c r="B128" s="260"/>
      <c r="C128" s="259"/>
      <c r="D128" s="260"/>
    </row>
    <row r="129" spans="1:4">
      <c r="A129" s="259"/>
      <c r="B129" s="260"/>
      <c r="C129" s="259"/>
      <c r="D129" s="260"/>
    </row>
    <row r="130" spans="1:4" ht="20.25" customHeight="1">
      <c r="A130" s="259" t="s">
        <v>381</v>
      </c>
      <c r="B130" s="259"/>
      <c r="C130" s="259"/>
      <c r="D130" s="259"/>
    </row>
    <row r="131" spans="1:4" hidden="1">
      <c r="A131" s="259" t="s">
        <v>410</v>
      </c>
      <c r="B131" s="260">
        <v>5913050</v>
      </c>
      <c r="C131" s="259"/>
      <c r="D131" s="259"/>
    </row>
    <row r="132" spans="1:4" hidden="1">
      <c r="A132" s="259" t="s">
        <v>411</v>
      </c>
      <c r="B132" s="259"/>
      <c r="C132" s="259"/>
      <c r="D132" s="259"/>
    </row>
    <row r="133" spans="1:4" hidden="1">
      <c r="A133" s="259" t="s">
        <v>412</v>
      </c>
      <c r="B133" s="260">
        <v>285470</v>
      </c>
      <c r="C133" s="259"/>
      <c r="D133" s="259"/>
    </row>
    <row r="134" spans="1:4" hidden="1">
      <c r="A134" s="259" t="s">
        <v>413</v>
      </c>
      <c r="B134" s="260">
        <v>109040</v>
      </c>
      <c r="C134" s="259"/>
      <c r="D134" s="259"/>
    </row>
    <row r="135" spans="1:4">
      <c r="A135" s="259" t="s">
        <v>414</v>
      </c>
      <c r="B135" s="260">
        <v>151000</v>
      </c>
      <c r="C135" s="259"/>
      <c r="D135" s="259"/>
    </row>
    <row r="136" spans="1:4">
      <c r="A136" s="259" t="s">
        <v>415</v>
      </c>
      <c r="B136" s="260">
        <v>67500</v>
      </c>
      <c r="C136" s="259"/>
      <c r="D136" s="259"/>
    </row>
    <row r="137" spans="1:4">
      <c r="A137" s="259" t="s">
        <v>422</v>
      </c>
      <c r="B137" s="260">
        <v>182795</v>
      </c>
      <c r="C137" s="259"/>
      <c r="D137" s="259"/>
    </row>
    <row r="138" spans="1:4">
      <c r="A138" s="259"/>
      <c r="B138" s="260"/>
      <c r="C138" s="259"/>
      <c r="D138" s="259"/>
    </row>
    <row r="139" spans="1:4">
      <c r="A139" s="259" t="s">
        <v>423</v>
      </c>
      <c r="B139" s="260">
        <v>2104782</v>
      </c>
      <c r="C139" s="259"/>
      <c r="D139" s="259"/>
    </row>
    <row r="140" spans="1:4">
      <c r="A140" s="259" t="s">
        <v>424</v>
      </c>
      <c r="B140" s="260">
        <v>14990</v>
      </c>
      <c r="C140" s="259"/>
      <c r="D140" s="259"/>
    </row>
    <row r="141" spans="1:4">
      <c r="A141" s="259" t="s">
        <v>425</v>
      </c>
      <c r="B141" s="260">
        <v>112780</v>
      </c>
      <c r="C141" s="259"/>
      <c r="D141" s="259"/>
    </row>
    <row r="142" spans="1:4">
      <c r="A142" s="259" t="s">
        <v>426</v>
      </c>
      <c r="B142" s="260">
        <v>628863</v>
      </c>
      <c r="C142" s="259"/>
      <c r="D142" s="259"/>
    </row>
    <row r="143" spans="1:4">
      <c r="A143" s="259" t="s">
        <v>427</v>
      </c>
      <c r="B143" s="260">
        <v>59000</v>
      </c>
      <c r="C143" s="259"/>
      <c r="D143" s="259"/>
    </row>
    <row r="144" spans="1:4">
      <c r="A144" s="259" t="s">
        <v>428</v>
      </c>
      <c r="B144" s="265">
        <v>29190</v>
      </c>
      <c r="C144" s="259"/>
      <c r="D144" s="259"/>
    </row>
    <row r="145" spans="1:4" ht="22.5" thickBot="1">
      <c r="A145" s="262" t="s">
        <v>36</v>
      </c>
      <c r="B145" s="263">
        <f>SUM(B121:B144)</f>
        <v>18263341</v>
      </c>
      <c r="C145" s="264"/>
      <c r="D145" s="263">
        <f>SUM(D121:D144)</f>
        <v>18263341</v>
      </c>
    </row>
    <row r="146" spans="1:4" ht="22.5" thickTop="1">
      <c r="A146" s="266"/>
      <c r="B146" s="267"/>
      <c r="C146" s="266"/>
      <c r="D146" s="266"/>
    </row>
    <row r="147" spans="1:4">
      <c r="A147" s="266"/>
      <c r="B147" s="267"/>
      <c r="C147" s="266"/>
      <c r="D147" s="266"/>
    </row>
    <row r="148" spans="1:4">
      <c r="A148" s="266"/>
      <c r="B148" s="267"/>
      <c r="C148" s="266"/>
      <c r="D148" s="266"/>
    </row>
    <row r="149" spans="1:4">
      <c r="A149" s="266"/>
      <c r="B149" s="266"/>
      <c r="C149" s="266"/>
      <c r="D149" s="266"/>
    </row>
    <row r="150" spans="1:4">
      <c r="A150" s="268"/>
      <c r="B150" s="269"/>
      <c r="C150" s="266"/>
      <c r="D150" s="269"/>
    </row>
    <row r="151" spans="1:4">
      <c r="A151" s="266"/>
      <c r="B151" s="266"/>
      <c r="C151" s="266"/>
      <c r="D151" s="266"/>
    </row>
    <row r="154" spans="1:4">
      <c r="D154" s="256" t="s">
        <v>71</v>
      </c>
    </row>
    <row r="155" spans="1:4" ht="23.25">
      <c r="A155" s="312" t="s">
        <v>397</v>
      </c>
      <c r="B155" s="312"/>
      <c r="C155" s="312"/>
      <c r="D155" s="312"/>
    </row>
    <row r="156" spans="1:4" ht="23.25">
      <c r="A156" s="312" t="s">
        <v>362</v>
      </c>
      <c r="B156" s="312"/>
      <c r="C156" s="312"/>
      <c r="D156" s="312"/>
    </row>
    <row r="157" spans="1:4" ht="23.25">
      <c r="A157" s="312" t="s">
        <v>429</v>
      </c>
      <c r="B157" s="312"/>
      <c r="C157" s="312"/>
      <c r="D157" s="312"/>
    </row>
    <row r="158" spans="1:4">
      <c r="A158" s="257" t="s">
        <v>364</v>
      </c>
      <c r="B158" s="257" t="s">
        <v>365</v>
      </c>
      <c r="C158" s="303" t="s">
        <v>366</v>
      </c>
      <c r="D158" s="304"/>
    </row>
    <row r="159" spans="1:4">
      <c r="A159" s="258" t="s">
        <v>17</v>
      </c>
      <c r="B159" s="258" t="s">
        <v>430</v>
      </c>
      <c r="C159" s="258" t="s">
        <v>367</v>
      </c>
      <c r="D159" s="258" t="s">
        <v>46</v>
      </c>
    </row>
    <row r="160" spans="1:4">
      <c r="A160" s="259" t="s">
        <v>368</v>
      </c>
      <c r="B160" s="259"/>
      <c r="C160" s="259"/>
      <c r="D160" s="259"/>
    </row>
    <row r="161" spans="1:4">
      <c r="A161" s="259" t="s">
        <v>369</v>
      </c>
      <c r="B161" s="260">
        <v>4410000</v>
      </c>
      <c r="C161" s="259" t="s">
        <v>370</v>
      </c>
      <c r="D161" s="260">
        <v>14866789</v>
      </c>
    </row>
    <row r="162" spans="1:4">
      <c r="A162" s="259" t="s">
        <v>400</v>
      </c>
      <c r="B162" s="260">
        <v>350929</v>
      </c>
      <c r="C162" s="259" t="s">
        <v>401</v>
      </c>
      <c r="D162" s="260">
        <v>3092000</v>
      </c>
    </row>
    <row r="163" spans="1:4">
      <c r="A163" s="259" t="s">
        <v>402</v>
      </c>
      <c r="B163" s="260">
        <v>1993040</v>
      </c>
      <c r="C163" s="259" t="s">
        <v>403</v>
      </c>
      <c r="D163" s="261">
        <v>1251000</v>
      </c>
    </row>
    <row r="164" spans="1:4">
      <c r="A164" s="259" t="s">
        <v>404</v>
      </c>
      <c r="B164" s="260">
        <v>8412</v>
      </c>
      <c r="C164" s="259" t="s">
        <v>405</v>
      </c>
      <c r="D164" s="260">
        <v>22700</v>
      </c>
    </row>
    <row r="165" spans="1:4">
      <c r="A165" s="259" t="s">
        <v>406</v>
      </c>
      <c r="B165" s="260">
        <v>1292500</v>
      </c>
      <c r="D165" s="260"/>
    </row>
    <row r="166" spans="1:4">
      <c r="A166" s="259" t="s">
        <v>408</v>
      </c>
      <c r="B166" s="260">
        <v>297000</v>
      </c>
      <c r="C166" s="259"/>
      <c r="D166" s="260"/>
    </row>
    <row r="167" spans="1:4">
      <c r="A167" s="259" t="s">
        <v>421</v>
      </c>
      <c r="B167" s="260">
        <v>253000</v>
      </c>
      <c r="C167" s="259" t="s">
        <v>17</v>
      </c>
      <c r="D167" s="260" t="s">
        <v>17</v>
      </c>
    </row>
    <row r="168" spans="1:4">
      <c r="A168" s="259"/>
      <c r="B168" s="260"/>
      <c r="C168" s="259"/>
      <c r="D168" s="260"/>
    </row>
    <row r="169" spans="1:4">
      <c r="A169" s="259"/>
      <c r="B169" s="260"/>
      <c r="C169" s="259"/>
      <c r="D169" s="260"/>
    </row>
    <row r="170" spans="1:4">
      <c r="A170" s="259" t="s">
        <v>381</v>
      </c>
      <c r="B170" s="259"/>
      <c r="C170" s="259"/>
      <c r="D170" s="259"/>
    </row>
    <row r="171" spans="1:4">
      <c r="A171" s="259" t="s">
        <v>410</v>
      </c>
      <c r="B171" s="260">
        <v>5953980</v>
      </c>
      <c r="C171" s="259"/>
      <c r="D171" s="259"/>
    </row>
    <row r="172" spans="1:4">
      <c r="A172" s="259" t="s">
        <v>411</v>
      </c>
      <c r="B172" s="259"/>
      <c r="C172" s="259"/>
      <c r="D172" s="259"/>
    </row>
    <row r="173" spans="1:4">
      <c r="A173" s="259" t="s">
        <v>412</v>
      </c>
      <c r="B173" s="260">
        <v>285470</v>
      </c>
      <c r="C173" s="259"/>
      <c r="D173" s="259"/>
    </row>
    <row r="174" spans="1:4">
      <c r="A174" s="259" t="s">
        <v>413</v>
      </c>
      <c r="B174" s="260">
        <v>109040</v>
      </c>
      <c r="C174" s="259"/>
      <c r="D174" s="259"/>
    </row>
    <row r="175" spans="1:4">
      <c r="A175" s="259" t="s">
        <v>414</v>
      </c>
      <c r="B175" s="260">
        <v>151000</v>
      </c>
      <c r="C175" s="259"/>
      <c r="D175" s="259"/>
    </row>
    <row r="176" spans="1:4">
      <c r="A176" s="259" t="s">
        <v>415</v>
      </c>
      <c r="B176" s="260">
        <v>67500</v>
      </c>
      <c r="C176" s="259"/>
      <c r="D176" s="259"/>
    </row>
    <row r="177" spans="1:4">
      <c r="A177" s="259" t="s">
        <v>422</v>
      </c>
      <c r="B177" s="260">
        <v>182795</v>
      </c>
      <c r="C177" s="259"/>
      <c r="D177" s="259"/>
    </row>
    <row r="178" spans="1:4">
      <c r="A178" s="259"/>
      <c r="B178" s="260"/>
      <c r="C178" s="259"/>
      <c r="D178" s="259"/>
    </row>
    <row r="179" spans="1:4">
      <c r="A179" s="259" t="s">
        <v>423</v>
      </c>
      <c r="B179" s="260">
        <v>2465382</v>
      </c>
      <c r="C179" s="259"/>
      <c r="D179" s="259"/>
    </row>
    <row r="180" spans="1:4">
      <c r="A180" s="259" t="s">
        <v>424</v>
      </c>
      <c r="B180" s="260">
        <v>148608</v>
      </c>
      <c r="C180" s="259"/>
      <c r="D180" s="259"/>
    </row>
    <row r="181" spans="1:4">
      <c r="A181" s="259" t="s">
        <v>425</v>
      </c>
      <c r="B181" s="260">
        <v>112780</v>
      </c>
      <c r="C181" s="259"/>
      <c r="D181" s="259"/>
    </row>
    <row r="182" spans="1:4">
      <c r="A182" s="259" t="s">
        <v>426</v>
      </c>
      <c r="B182" s="260">
        <v>997863</v>
      </c>
      <c r="C182" s="259"/>
      <c r="D182" s="259"/>
    </row>
    <row r="183" spans="1:4">
      <c r="A183" s="259" t="s">
        <v>427</v>
      </c>
      <c r="B183" s="260">
        <v>124000</v>
      </c>
      <c r="C183" s="259"/>
      <c r="D183" s="259"/>
    </row>
    <row r="184" spans="1:4">
      <c r="A184" s="259" t="s">
        <v>428</v>
      </c>
      <c r="B184" s="265">
        <v>29190</v>
      </c>
      <c r="C184" s="259"/>
      <c r="D184" s="259"/>
    </row>
    <row r="185" spans="1:4" ht="22.5" thickBot="1">
      <c r="A185" s="262" t="s">
        <v>36</v>
      </c>
      <c r="B185" s="263">
        <f>SUM(B161:B184)</f>
        <v>19232489</v>
      </c>
      <c r="C185" s="264"/>
      <c r="D185" s="263">
        <f>SUM(D161:D184)</f>
        <v>19232489</v>
      </c>
    </row>
    <row r="186" spans="1:4" ht="22.5" thickTop="1"/>
    <row r="190" spans="1:4">
      <c r="D190" s="230" t="s">
        <v>71</v>
      </c>
    </row>
    <row r="191" spans="1:4" ht="23.25">
      <c r="A191" s="312" t="s">
        <v>397</v>
      </c>
      <c r="B191" s="312"/>
      <c r="C191" s="312"/>
      <c r="D191" s="312"/>
    </row>
    <row r="192" spans="1:4" ht="23.25">
      <c r="A192" s="312" t="s">
        <v>362</v>
      </c>
      <c r="B192" s="312"/>
      <c r="C192" s="312"/>
      <c r="D192" s="312"/>
    </row>
    <row r="193" spans="1:4" ht="23.25">
      <c r="A193" s="312" t="s">
        <v>431</v>
      </c>
      <c r="B193" s="312"/>
      <c r="C193" s="312"/>
      <c r="D193" s="312"/>
    </row>
    <row r="194" spans="1:4">
      <c r="A194" s="257" t="s">
        <v>364</v>
      </c>
      <c r="B194" s="257" t="s">
        <v>365</v>
      </c>
      <c r="C194" s="303" t="s">
        <v>366</v>
      </c>
      <c r="D194" s="304"/>
    </row>
    <row r="195" spans="1:4">
      <c r="A195" s="258" t="s">
        <v>17</v>
      </c>
      <c r="B195" s="258" t="s">
        <v>432</v>
      </c>
      <c r="C195" s="258" t="s">
        <v>367</v>
      </c>
      <c r="D195" s="258" t="s">
        <v>46</v>
      </c>
    </row>
    <row r="196" spans="1:4">
      <c r="A196" s="259" t="s">
        <v>368</v>
      </c>
      <c r="B196" s="259"/>
      <c r="C196" s="259"/>
      <c r="D196" s="259"/>
    </row>
    <row r="197" spans="1:4">
      <c r="A197" s="259" t="s">
        <v>369</v>
      </c>
      <c r="B197" s="260">
        <v>4410000</v>
      </c>
      <c r="C197" s="259" t="s">
        <v>370</v>
      </c>
      <c r="D197" s="260">
        <v>28878859</v>
      </c>
    </row>
    <row r="198" spans="1:4">
      <c r="A198" s="259" t="s">
        <v>400</v>
      </c>
      <c r="B198" s="260">
        <v>805929</v>
      </c>
      <c r="C198" s="259" t="s">
        <v>401</v>
      </c>
      <c r="D198" s="260">
        <v>3092000</v>
      </c>
    </row>
    <row r="199" spans="1:4">
      <c r="A199" s="259" t="s">
        <v>402</v>
      </c>
      <c r="B199" s="260">
        <v>3073040</v>
      </c>
      <c r="C199" s="259" t="s">
        <v>403</v>
      </c>
      <c r="D199" s="261">
        <v>1251000</v>
      </c>
    </row>
    <row r="200" spans="1:4">
      <c r="A200" s="259" t="s">
        <v>404</v>
      </c>
      <c r="B200" s="260">
        <v>8412</v>
      </c>
      <c r="C200" s="259" t="s">
        <v>405</v>
      </c>
      <c r="D200" s="260">
        <v>22700</v>
      </c>
    </row>
    <row r="201" spans="1:4">
      <c r="A201" s="259" t="s">
        <v>406</v>
      </c>
      <c r="B201" s="260">
        <v>6046000</v>
      </c>
      <c r="D201" s="260"/>
    </row>
    <row r="202" spans="1:4">
      <c r="A202" s="259" t="s">
        <v>408</v>
      </c>
      <c r="B202" s="260">
        <v>297000</v>
      </c>
      <c r="C202" s="259"/>
      <c r="D202" s="260"/>
    </row>
    <row r="203" spans="1:4">
      <c r="A203" s="259" t="s">
        <v>421</v>
      </c>
      <c r="B203" s="260">
        <v>253000</v>
      </c>
      <c r="C203" s="259" t="s">
        <v>17</v>
      </c>
      <c r="D203" s="260" t="s">
        <v>17</v>
      </c>
    </row>
    <row r="204" spans="1:4">
      <c r="A204" s="259" t="s">
        <v>433</v>
      </c>
      <c r="B204" s="260">
        <v>1365000</v>
      </c>
      <c r="C204" s="259"/>
      <c r="D204" s="260"/>
    </row>
    <row r="205" spans="1:4">
      <c r="A205" s="259" t="s">
        <v>434</v>
      </c>
      <c r="B205" s="260">
        <v>1672000</v>
      </c>
      <c r="C205" s="259"/>
      <c r="D205" s="260"/>
    </row>
    <row r="206" spans="1:4">
      <c r="A206" s="259" t="s">
        <v>435</v>
      </c>
      <c r="B206" s="260">
        <v>813000</v>
      </c>
      <c r="C206" s="259"/>
      <c r="D206" s="260"/>
    </row>
    <row r="207" spans="1:4">
      <c r="A207" s="259" t="s">
        <v>436</v>
      </c>
      <c r="B207" s="260">
        <v>159500</v>
      </c>
      <c r="C207" s="259"/>
      <c r="D207" s="260"/>
    </row>
    <row r="208" spans="1:4">
      <c r="A208" s="259" t="s">
        <v>381</v>
      </c>
      <c r="B208" s="259"/>
      <c r="C208" s="259"/>
      <c r="D208" s="259"/>
    </row>
    <row r="209" spans="1:4">
      <c r="A209" s="259" t="s">
        <v>410</v>
      </c>
      <c r="B209" s="260">
        <v>7942880</v>
      </c>
      <c r="C209" s="259"/>
      <c r="D209" s="259"/>
    </row>
    <row r="210" spans="1:4">
      <c r="A210" s="259" t="s">
        <v>411</v>
      </c>
      <c r="B210" s="259"/>
      <c r="C210" s="259"/>
      <c r="D210" s="259"/>
    </row>
    <row r="211" spans="1:4">
      <c r="A211" s="259" t="s">
        <v>412</v>
      </c>
      <c r="B211" s="260">
        <v>285470</v>
      </c>
      <c r="C211" s="259"/>
      <c r="D211" s="259"/>
    </row>
    <row r="212" spans="1:4">
      <c r="A212" s="259" t="s">
        <v>413</v>
      </c>
      <c r="B212" s="260">
        <v>109040</v>
      </c>
      <c r="C212" s="259"/>
      <c r="D212" s="259"/>
    </row>
    <row r="213" spans="1:4">
      <c r="A213" s="259" t="s">
        <v>414</v>
      </c>
      <c r="B213" s="260">
        <v>151000</v>
      </c>
      <c r="C213" s="259"/>
      <c r="D213" s="259"/>
    </row>
    <row r="214" spans="1:4">
      <c r="A214" s="259" t="s">
        <v>415</v>
      </c>
      <c r="B214" s="260">
        <v>67500</v>
      </c>
      <c r="C214" s="259"/>
      <c r="D214" s="259"/>
    </row>
    <row r="215" spans="1:4">
      <c r="A215" s="259" t="s">
        <v>422</v>
      </c>
      <c r="B215" s="260">
        <v>182795</v>
      </c>
      <c r="C215" s="259"/>
      <c r="D215" s="259"/>
    </row>
    <row r="216" spans="1:4">
      <c r="A216" s="259" t="s">
        <v>423</v>
      </c>
      <c r="B216" s="260">
        <v>3008232</v>
      </c>
      <c r="C216" s="259"/>
      <c r="D216" s="259"/>
    </row>
    <row r="217" spans="1:4">
      <c r="A217" s="259" t="s">
        <v>437</v>
      </c>
      <c r="B217" s="260">
        <v>25000</v>
      </c>
      <c r="C217" s="259"/>
      <c r="D217" s="259"/>
    </row>
    <row r="218" spans="1:4">
      <c r="A218" s="259" t="s">
        <v>438</v>
      </c>
      <c r="B218" s="260">
        <v>147608</v>
      </c>
      <c r="C218" s="259"/>
      <c r="D218" s="259"/>
    </row>
    <row r="219" spans="1:4">
      <c r="A219" s="259" t="s">
        <v>439</v>
      </c>
      <c r="B219" s="260">
        <v>144130</v>
      </c>
      <c r="C219" s="259"/>
      <c r="D219" s="259"/>
    </row>
    <row r="220" spans="1:4">
      <c r="A220" s="259" t="s">
        <v>440</v>
      </c>
      <c r="B220" s="260">
        <v>1258776</v>
      </c>
      <c r="C220" s="259"/>
      <c r="D220" s="259"/>
    </row>
    <row r="221" spans="1:4">
      <c r="A221" s="259" t="s">
        <v>441</v>
      </c>
      <c r="B221" s="260">
        <v>124000</v>
      </c>
      <c r="C221" s="259"/>
      <c r="D221" s="259"/>
    </row>
    <row r="222" spans="1:4">
      <c r="A222" s="259" t="s">
        <v>442</v>
      </c>
      <c r="B222" s="265">
        <v>215247</v>
      </c>
      <c r="C222" s="259"/>
      <c r="D222" s="259"/>
    </row>
    <row r="223" spans="1:4">
      <c r="A223" s="259" t="s">
        <v>443</v>
      </c>
      <c r="B223" s="265">
        <v>680000</v>
      </c>
      <c r="C223" s="259"/>
      <c r="D223" s="259"/>
    </row>
    <row r="224" spans="1:4" ht="22.5" thickBot="1">
      <c r="A224" s="262" t="s">
        <v>36</v>
      </c>
      <c r="B224" s="263">
        <f>SUM(B197:B223)</f>
        <v>33244559</v>
      </c>
      <c r="C224" s="264"/>
      <c r="D224" s="263">
        <f>SUM(D197:D223)</f>
        <v>33244559</v>
      </c>
    </row>
    <row r="225" spans="3:3" ht="22.5" thickTop="1"/>
    <row r="226" spans="3:3">
      <c r="C226" s="270">
        <f>B224-D224</f>
        <v>0</v>
      </c>
    </row>
  </sheetData>
  <mergeCells count="27">
    <mergeCell ref="C194:D194"/>
    <mergeCell ref="A115:D115"/>
    <mergeCell ref="A116:D116"/>
    <mergeCell ref="A117:D117"/>
    <mergeCell ref="C118:D118"/>
    <mergeCell ref="A155:D155"/>
    <mergeCell ref="A156:D156"/>
    <mergeCell ref="A157:D157"/>
    <mergeCell ref="C158:D158"/>
    <mergeCell ref="A191:D191"/>
    <mergeCell ref="A192:D192"/>
    <mergeCell ref="A193:D193"/>
    <mergeCell ref="C82:D82"/>
    <mergeCell ref="A2:D2"/>
    <mergeCell ref="A4:D4"/>
    <mergeCell ref="A5:D5"/>
    <mergeCell ref="C6:D6"/>
    <mergeCell ref="A43:D43"/>
    <mergeCell ref="A44:D44"/>
    <mergeCell ref="A3:D3"/>
    <mergeCell ref="A6:A7"/>
    <mergeCell ref="B6:B7"/>
    <mergeCell ref="A45:D45"/>
    <mergeCell ref="C46:D46"/>
    <mergeCell ref="A79:D79"/>
    <mergeCell ref="A80:D80"/>
    <mergeCell ref="A81:D81"/>
  </mergeCells>
  <pageMargins left="0.6" right="0.23" top="0.31" bottom="0.59055118110236227" header="0.17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20" workbookViewId="0">
      <selection activeCell="H9" sqref="H9"/>
    </sheetView>
  </sheetViews>
  <sheetFormatPr defaultRowHeight="21.75"/>
  <cols>
    <col min="1" max="1" width="33" style="229" customWidth="1"/>
    <col min="2" max="2" width="15.5703125" style="229" customWidth="1"/>
    <col min="3" max="3" width="14.42578125" style="229" customWidth="1"/>
    <col min="4" max="4" width="14" style="229" customWidth="1"/>
    <col min="5" max="5" width="14.85546875" style="229" customWidth="1"/>
    <col min="6" max="16384" width="9.140625" style="229"/>
  </cols>
  <sheetData>
    <row r="1" spans="1:5" ht="27.75">
      <c r="A1" s="305" t="s">
        <v>0</v>
      </c>
      <c r="B1" s="305"/>
      <c r="C1" s="305"/>
      <c r="D1" s="305"/>
      <c r="E1" s="305"/>
    </row>
    <row r="2" spans="1:5" ht="27.75">
      <c r="A2" s="305" t="s">
        <v>444</v>
      </c>
      <c r="B2" s="305"/>
      <c r="C2" s="305"/>
      <c r="D2" s="305"/>
      <c r="E2" s="305"/>
    </row>
    <row r="3" spans="1:5" ht="27.75">
      <c r="A3" s="313" t="s">
        <v>445</v>
      </c>
      <c r="B3" s="313"/>
      <c r="C3" s="313"/>
      <c r="D3" s="313"/>
      <c r="E3" s="313"/>
    </row>
    <row r="4" spans="1:5" ht="24">
      <c r="A4" s="231" t="s">
        <v>446</v>
      </c>
      <c r="B4" s="271" t="s">
        <v>447</v>
      </c>
      <c r="C4" s="272" t="s">
        <v>448</v>
      </c>
      <c r="D4" s="271" t="s">
        <v>449</v>
      </c>
      <c r="E4" s="232" t="s">
        <v>450</v>
      </c>
    </row>
    <row r="5" spans="1:5" ht="24">
      <c r="A5" s="273" t="s">
        <v>368</v>
      </c>
      <c r="B5" s="239" t="s">
        <v>17</v>
      </c>
      <c r="C5" s="244"/>
      <c r="D5" s="239"/>
      <c r="E5" s="237"/>
    </row>
    <row r="6" spans="1:5" ht="24">
      <c r="A6" s="243" t="s">
        <v>369</v>
      </c>
      <c r="B6" s="239">
        <v>3330000</v>
      </c>
      <c r="C6" s="244"/>
      <c r="D6" s="239"/>
      <c r="E6" s="237">
        <f t="shared" ref="E6:E11" si="0">B6</f>
        <v>3330000</v>
      </c>
    </row>
    <row r="7" spans="1:5" ht="24">
      <c r="A7" s="243" t="s">
        <v>371</v>
      </c>
      <c r="B7" s="239">
        <v>7472233</v>
      </c>
      <c r="C7" s="244">
        <v>22000</v>
      </c>
      <c r="D7" s="239"/>
      <c r="E7" s="237">
        <f>B7+C7</f>
        <v>7494233</v>
      </c>
    </row>
    <row r="8" spans="1:5" ht="24">
      <c r="A8" s="243" t="s">
        <v>373</v>
      </c>
      <c r="B8" s="239">
        <v>736816</v>
      </c>
      <c r="C8" s="244"/>
      <c r="D8" s="239"/>
      <c r="E8" s="237">
        <f t="shared" si="0"/>
        <v>736816</v>
      </c>
    </row>
    <row r="9" spans="1:5" ht="24">
      <c r="A9" s="243" t="s">
        <v>375</v>
      </c>
      <c r="B9" s="239">
        <v>75000</v>
      </c>
      <c r="C9" s="244"/>
      <c r="D9" s="239"/>
      <c r="E9" s="237">
        <f t="shared" si="0"/>
        <v>75000</v>
      </c>
    </row>
    <row r="10" spans="1:5" ht="24">
      <c r="A10" s="243" t="s">
        <v>377</v>
      </c>
      <c r="B10" s="239">
        <v>113000</v>
      </c>
      <c r="C10" s="244"/>
      <c r="D10" s="239"/>
      <c r="E10" s="237">
        <f t="shared" si="0"/>
        <v>113000</v>
      </c>
    </row>
    <row r="11" spans="1:5" ht="24">
      <c r="A11" s="243" t="s">
        <v>379</v>
      </c>
      <c r="B11" s="239">
        <v>755600</v>
      </c>
      <c r="C11" s="244"/>
      <c r="D11" s="239"/>
      <c r="E11" s="237">
        <f t="shared" si="0"/>
        <v>755600</v>
      </c>
    </row>
    <row r="12" spans="1:5" ht="24">
      <c r="A12" s="273" t="s">
        <v>381</v>
      </c>
      <c r="B12" s="239"/>
      <c r="C12" s="244"/>
      <c r="D12" s="239"/>
      <c r="E12" s="237"/>
    </row>
    <row r="13" spans="1:5" ht="24">
      <c r="A13" s="243" t="s">
        <v>383</v>
      </c>
      <c r="B13" s="239">
        <v>3340702</v>
      </c>
      <c r="C13" s="244">
        <v>84280</v>
      </c>
      <c r="D13" s="239">
        <v>152090</v>
      </c>
      <c r="E13" s="237">
        <f>B13+C13-D13</f>
        <v>3272892</v>
      </c>
    </row>
    <row r="14" spans="1:5" ht="24">
      <c r="A14" s="243" t="s">
        <v>384</v>
      </c>
      <c r="B14" s="239">
        <v>5735140</v>
      </c>
      <c r="C14" s="244">
        <v>93010</v>
      </c>
      <c r="D14" s="239">
        <v>547000</v>
      </c>
      <c r="E14" s="237">
        <f>B14+C14-D14</f>
        <v>5281150</v>
      </c>
    </row>
    <row r="15" spans="1:5" ht="24">
      <c r="A15" s="243" t="s">
        <v>385</v>
      </c>
      <c r="B15" s="239">
        <v>68490</v>
      </c>
      <c r="C15" s="244">
        <v>14000</v>
      </c>
      <c r="D15" s="239">
        <v>10990</v>
      </c>
      <c r="E15" s="237">
        <f>B15+C15-D15</f>
        <v>71500</v>
      </c>
    </row>
    <row r="16" spans="1:5" ht="24">
      <c r="A16" s="274" t="s">
        <v>386</v>
      </c>
      <c r="B16" s="239">
        <v>37490</v>
      </c>
      <c r="C16" s="244"/>
      <c r="D16" s="239"/>
      <c r="E16" s="237">
        <f>B16+C16</f>
        <v>37490</v>
      </c>
    </row>
    <row r="17" spans="1:5" ht="24">
      <c r="A17" s="243" t="s">
        <v>387</v>
      </c>
      <c r="B17" s="239">
        <v>397500</v>
      </c>
      <c r="C17" s="244"/>
      <c r="D17" s="239"/>
      <c r="E17" s="237">
        <f>B17+C17</f>
        <v>397500</v>
      </c>
    </row>
    <row r="18" spans="1:5" ht="24">
      <c r="A18" s="243" t="s">
        <v>388</v>
      </c>
      <c r="B18" s="239">
        <v>70000</v>
      </c>
      <c r="C18" s="244"/>
      <c r="D18" s="239"/>
      <c r="E18" s="237">
        <f>B18+C18</f>
        <v>70000</v>
      </c>
    </row>
    <row r="19" spans="1:5" ht="24">
      <c r="A19" s="243" t="s">
        <v>389</v>
      </c>
      <c r="B19" s="239">
        <v>52000</v>
      </c>
      <c r="C19" s="244">
        <v>5650</v>
      </c>
      <c r="D19" s="239"/>
      <c r="E19" s="237">
        <f>B19+C19</f>
        <v>57650</v>
      </c>
    </row>
    <row r="20" spans="1:5" ht="24">
      <c r="A20" s="243" t="s">
        <v>390</v>
      </c>
      <c r="B20" s="275">
        <v>0</v>
      </c>
      <c r="C20" s="244">
        <v>17000</v>
      </c>
      <c r="D20" s="239"/>
      <c r="E20" s="237">
        <v>17000</v>
      </c>
    </row>
    <row r="21" spans="1:5" ht="24">
      <c r="A21" s="243" t="s">
        <v>391</v>
      </c>
      <c r="B21" s="275">
        <v>0</v>
      </c>
      <c r="C21" s="244">
        <v>44000</v>
      </c>
      <c r="D21" s="239"/>
      <c r="E21" s="237">
        <f>C21</f>
        <v>44000</v>
      </c>
    </row>
    <row r="22" spans="1:5" ht="24">
      <c r="A22" s="243" t="s">
        <v>392</v>
      </c>
      <c r="B22" s="275">
        <v>0</v>
      </c>
      <c r="C22" s="244">
        <v>225940</v>
      </c>
      <c r="D22" s="239"/>
      <c r="E22" s="237">
        <f>C22</f>
        <v>225940</v>
      </c>
    </row>
    <row r="23" spans="1:5" ht="24">
      <c r="A23" s="243" t="s">
        <v>393</v>
      </c>
      <c r="B23" s="275">
        <v>0</v>
      </c>
      <c r="C23" s="244">
        <v>36000</v>
      </c>
      <c r="D23" s="239"/>
      <c r="E23" s="237">
        <f>C23</f>
        <v>36000</v>
      </c>
    </row>
    <row r="24" spans="1:5" ht="24">
      <c r="A24" s="276" t="s">
        <v>451</v>
      </c>
      <c r="B24" s="275">
        <v>0</v>
      </c>
      <c r="C24" s="244">
        <v>44700</v>
      </c>
      <c r="D24" s="239"/>
      <c r="E24" s="237">
        <f>C24</f>
        <v>44700</v>
      </c>
    </row>
    <row r="25" spans="1:5" ht="24">
      <c r="A25" s="245"/>
      <c r="B25" s="239"/>
      <c r="C25" s="244"/>
      <c r="D25" s="239"/>
      <c r="E25" s="237"/>
    </row>
    <row r="26" spans="1:5" ht="24">
      <c r="A26" s="245"/>
      <c r="B26" s="239"/>
      <c r="C26" s="244"/>
      <c r="D26" s="239"/>
      <c r="E26" s="237"/>
    </row>
    <row r="27" spans="1:5" ht="24">
      <c r="A27" s="245"/>
      <c r="B27" s="239"/>
      <c r="C27" s="244"/>
      <c r="D27" s="239"/>
      <c r="E27" s="237"/>
    </row>
    <row r="28" spans="1:5" ht="24.75" thickBot="1">
      <c r="A28" s="277"/>
      <c r="B28" s="278">
        <f>SUM(B6:B27)</f>
        <v>22183971</v>
      </c>
      <c r="C28" s="278">
        <f>SUM(C6:C27)</f>
        <v>586580</v>
      </c>
      <c r="D28" s="279">
        <f>D13+D14+D15</f>
        <v>710080</v>
      </c>
      <c r="E28" s="278">
        <f>SUM(E6:E27)</f>
        <v>22060471</v>
      </c>
    </row>
    <row r="29" spans="1:5" ht="24.75" thickTop="1">
      <c r="A29" s="238"/>
      <c r="B29" s="280"/>
      <c r="C29" s="280"/>
      <c r="D29" s="280"/>
      <c r="E29" s="280"/>
    </row>
    <row r="30" spans="1:5" ht="24">
      <c r="A30" s="238"/>
      <c r="B30" s="280"/>
      <c r="C30" s="280"/>
      <c r="D30" s="280"/>
      <c r="E30" s="280"/>
    </row>
    <row r="31" spans="1:5">
      <c r="A31" s="249"/>
      <c r="B31" s="281"/>
      <c r="C31" s="281"/>
      <c r="D31" s="281"/>
      <c r="E31" s="281"/>
    </row>
    <row r="32" spans="1:5" ht="0.75" customHeight="1">
      <c r="A32" s="249"/>
      <c r="B32" s="281"/>
      <c r="C32" s="281"/>
      <c r="D32" s="281"/>
      <c r="E32" s="281"/>
    </row>
    <row r="33" spans="1:5" hidden="1">
      <c r="A33" s="249"/>
      <c r="B33" s="249"/>
      <c r="C33" s="249"/>
      <c r="D33" s="249"/>
      <c r="E33" s="249"/>
    </row>
    <row r="34" spans="1:5" hidden="1">
      <c r="A34" s="249"/>
      <c r="B34" s="249"/>
      <c r="C34" s="249"/>
      <c r="D34" s="249"/>
      <c r="E34" s="249"/>
    </row>
    <row r="35" spans="1:5" hidden="1">
      <c r="A35" s="249"/>
      <c r="B35" s="249"/>
      <c r="C35" s="249"/>
      <c r="D35" s="249"/>
      <c r="E35" s="249"/>
    </row>
    <row r="36" spans="1:5" hidden="1">
      <c r="A36" s="249"/>
      <c r="B36" s="249"/>
      <c r="C36" s="249"/>
      <c r="D36" s="249"/>
      <c r="E36" s="249"/>
    </row>
    <row r="37" spans="1:5">
      <c r="A37" s="249"/>
      <c r="B37" s="249"/>
      <c r="C37" s="249"/>
      <c r="D37" s="249"/>
      <c r="E37" s="249"/>
    </row>
    <row r="38" spans="1:5" ht="27.75">
      <c r="A38" s="305" t="s">
        <v>0</v>
      </c>
      <c r="B38" s="305"/>
      <c r="C38" s="305"/>
      <c r="D38" s="305"/>
      <c r="E38" s="305"/>
    </row>
    <row r="39" spans="1:5" ht="27.75">
      <c r="A39" s="305" t="s">
        <v>444</v>
      </c>
      <c r="B39" s="305"/>
      <c r="C39" s="305"/>
      <c r="D39" s="305"/>
      <c r="E39" s="305"/>
    </row>
    <row r="40" spans="1:5" ht="27.75">
      <c r="A40" s="305" t="s">
        <v>445</v>
      </c>
      <c r="B40" s="305"/>
      <c r="C40" s="305"/>
      <c r="D40" s="305"/>
      <c r="E40" s="305"/>
    </row>
    <row r="41" spans="1:5" ht="24">
      <c r="A41" s="271" t="s">
        <v>446</v>
      </c>
      <c r="B41" s="271" t="s">
        <v>447</v>
      </c>
      <c r="C41" s="272" t="s">
        <v>448</v>
      </c>
      <c r="D41" s="271" t="s">
        <v>449</v>
      </c>
      <c r="E41" s="232" t="s">
        <v>450</v>
      </c>
    </row>
    <row r="42" spans="1:5" ht="24">
      <c r="A42" s="235" t="s">
        <v>370</v>
      </c>
      <c r="B42" s="239">
        <v>16365785.640000001</v>
      </c>
      <c r="C42" s="244">
        <v>483180</v>
      </c>
      <c r="D42" s="239">
        <v>710080</v>
      </c>
      <c r="E42" s="237">
        <f>B42+C42-D42</f>
        <v>16138885.640000001</v>
      </c>
    </row>
    <row r="43" spans="1:5" ht="24">
      <c r="A43" s="235" t="s">
        <v>372</v>
      </c>
      <c r="B43" s="239">
        <v>5297465.3600000003</v>
      </c>
      <c r="C43" s="244"/>
      <c r="D43" s="239"/>
      <c r="E43" s="237">
        <f>B43+C43</f>
        <v>5297465.3600000003</v>
      </c>
    </row>
    <row r="44" spans="1:5" ht="24">
      <c r="A44" s="235" t="s">
        <v>374</v>
      </c>
      <c r="B44" s="239">
        <v>320750</v>
      </c>
      <c r="C44" s="282"/>
      <c r="D44" s="283"/>
      <c r="E44" s="237">
        <v>320750</v>
      </c>
    </row>
    <row r="45" spans="1:5" ht="24">
      <c r="A45" s="235" t="s">
        <v>452</v>
      </c>
      <c r="B45" s="239">
        <v>99970</v>
      </c>
      <c r="C45" s="244"/>
      <c r="D45" s="239"/>
      <c r="E45" s="237">
        <v>99970</v>
      </c>
    </row>
    <row r="46" spans="1:5" ht="24">
      <c r="A46" s="235" t="s">
        <v>453</v>
      </c>
      <c r="B46" s="239">
        <v>50000</v>
      </c>
      <c r="C46" s="244"/>
      <c r="D46" s="239"/>
      <c r="E46" s="237">
        <v>50000</v>
      </c>
    </row>
    <row r="47" spans="1:5" ht="24">
      <c r="A47" s="235" t="s">
        <v>454</v>
      </c>
      <c r="B47" s="239">
        <v>50000</v>
      </c>
      <c r="C47" s="244"/>
      <c r="D47" s="239"/>
      <c r="E47" s="237">
        <v>50000</v>
      </c>
    </row>
    <row r="48" spans="1:5" ht="24">
      <c r="A48" s="235" t="s">
        <v>455</v>
      </c>
      <c r="B48" s="275">
        <v>0</v>
      </c>
      <c r="C48" s="244">
        <v>103400</v>
      </c>
      <c r="D48" s="239"/>
      <c r="E48" s="237">
        <v>103400</v>
      </c>
    </row>
    <row r="49" spans="1:5" ht="24">
      <c r="A49" s="235"/>
      <c r="B49" s="239"/>
      <c r="C49" s="244"/>
      <c r="D49" s="239"/>
      <c r="E49" s="237"/>
    </row>
    <row r="50" spans="1:5" ht="24">
      <c r="A50" s="235"/>
      <c r="B50" s="239"/>
      <c r="C50" s="244"/>
      <c r="D50" s="239"/>
      <c r="E50" s="237"/>
    </row>
    <row r="51" spans="1:5" ht="24.75" thickBot="1">
      <c r="A51" s="284"/>
      <c r="B51" s="278">
        <f>SUM(B42:B50)</f>
        <v>22183971</v>
      </c>
      <c r="C51" s="278">
        <f>SUM(C42:C50)</f>
        <v>586580</v>
      </c>
      <c r="D51" s="279">
        <v>710080</v>
      </c>
      <c r="E51" s="278">
        <f>B51+C51-D51</f>
        <v>22060471</v>
      </c>
    </row>
    <row r="52" spans="1:5" ht="24.75" thickTop="1">
      <c r="A52" s="238"/>
      <c r="B52" s="280"/>
      <c r="C52" s="280"/>
      <c r="D52" s="280"/>
      <c r="E52" s="280"/>
    </row>
    <row r="53" spans="1:5" ht="24">
      <c r="A53" s="238"/>
      <c r="B53" s="280"/>
      <c r="C53" s="280"/>
      <c r="D53" s="280"/>
      <c r="E53" s="280"/>
    </row>
    <row r="54" spans="1:5" ht="24">
      <c r="A54" s="238"/>
      <c r="B54" s="238"/>
      <c r="C54" s="238"/>
      <c r="D54" s="238"/>
      <c r="E54" s="238"/>
    </row>
    <row r="55" spans="1:5" ht="24">
      <c r="A55" s="238"/>
      <c r="B55" s="238"/>
      <c r="C55" s="238"/>
      <c r="D55" s="238"/>
      <c r="E55" s="238"/>
    </row>
    <row r="56" spans="1:5" ht="24">
      <c r="A56" s="238"/>
      <c r="B56" s="238"/>
      <c r="C56" s="238"/>
      <c r="D56" s="238"/>
      <c r="E56" s="238"/>
    </row>
    <row r="57" spans="1:5" ht="24">
      <c r="A57" s="238"/>
      <c r="B57" s="238"/>
      <c r="C57" s="238"/>
      <c r="D57" s="238"/>
      <c r="E57" s="238"/>
    </row>
    <row r="58" spans="1:5">
      <c r="A58" s="249"/>
      <c r="B58" s="249"/>
      <c r="C58" s="249"/>
      <c r="D58" s="249"/>
      <c r="E58" s="249"/>
    </row>
    <row r="59" spans="1:5">
      <c r="A59" s="249"/>
      <c r="B59" s="249"/>
      <c r="C59" s="249"/>
      <c r="D59" s="249"/>
      <c r="E59" s="249"/>
    </row>
    <row r="60" spans="1:5">
      <c r="A60" s="249"/>
      <c r="B60" s="249"/>
      <c r="C60" s="249"/>
      <c r="D60" s="249"/>
      <c r="E60" s="249"/>
    </row>
    <row r="61" spans="1:5">
      <c r="A61" s="249"/>
      <c r="B61" s="249"/>
      <c r="C61" s="249"/>
      <c r="D61" s="249"/>
      <c r="E61" s="249"/>
    </row>
    <row r="62" spans="1:5">
      <c r="A62" s="249"/>
      <c r="B62" s="249"/>
      <c r="C62" s="249"/>
      <c r="D62" s="249"/>
      <c r="E62" s="249"/>
    </row>
    <row r="63" spans="1:5">
      <c r="A63" s="249"/>
      <c r="B63" s="249"/>
      <c r="C63" s="249"/>
      <c r="D63" s="249"/>
      <c r="E63" s="249"/>
    </row>
    <row r="64" spans="1:5">
      <c r="A64" s="249"/>
      <c r="B64" s="249"/>
      <c r="C64" s="249"/>
      <c r="D64" s="249"/>
      <c r="E64" s="249"/>
    </row>
    <row r="65" spans="1:6">
      <c r="A65" s="249"/>
      <c r="B65" s="249"/>
      <c r="C65" s="249"/>
      <c r="D65" s="249"/>
      <c r="E65" s="249"/>
    </row>
    <row r="66" spans="1:6">
      <c r="A66" s="249"/>
      <c r="B66" s="249"/>
      <c r="C66" s="249"/>
      <c r="D66" s="249"/>
      <c r="E66" s="249"/>
    </row>
    <row r="67" spans="1:6">
      <c r="A67" s="249"/>
      <c r="B67" s="249"/>
      <c r="C67" s="249"/>
      <c r="D67" s="249"/>
      <c r="E67" s="249"/>
    </row>
    <row r="68" spans="1:6">
      <c r="A68" s="249"/>
      <c r="B68" s="249"/>
      <c r="C68" s="249"/>
      <c r="D68" s="249"/>
      <c r="E68" s="249"/>
      <c r="F68" s="285"/>
    </row>
    <row r="69" spans="1:6" ht="26.25">
      <c r="A69" s="314"/>
      <c r="B69" s="314"/>
      <c r="C69" s="314"/>
      <c r="D69" s="314"/>
      <c r="E69" s="314"/>
    </row>
    <row r="70" spans="1:6" ht="26.25">
      <c r="A70" s="314"/>
      <c r="B70" s="314"/>
      <c r="C70" s="314"/>
      <c r="D70" s="314"/>
      <c r="E70" s="314"/>
    </row>
    <row r="71" spans="1:6" ht="26.25">
      <c r="A71" s="314"/>
      <c r="B71" s="314"/>
      <c r="C71" s="314"/>
      <c r="D71" s="314"/>
      <c r="E71" s="314"/>
    </row>
    <row r="72" spans="1:6" ht="23.25">
      <c r="A72" s="286"/>
      <c r="B72" s="286"/>
      <c r="C72" s="286"/>
      <c r="D72" s="286"/>
      <c r="E72" s="286"/>
    </row>
    <row r="73" spans="1:6" ht="24">
      <c r="A73" s="287"/>
      <c r="B73" s="287"/>
      <c r="C73" s="287"/>
      <c r="D73" s="287"/>
      <c r="E73" s="287"/>
    </row>
    <row r="74" spans="1:6" ht="24">
      <c r="A74" s="287"/>
      <c r="B74" s="288"/>
      <c r="C74" s="288"/>
      <c r="D74" s="288"/>
      <c r="E74" s="288"/>
    </row>
    <row r="75" spans="1:6" ht="24">
      <c r="A75" s="287"/>
      <c r="B75" s="288"/>
      <c r="C75" s="288"/>
      <c r="D75" s="288"/>
      <c r="E75" s="288"/>
    </row>
    <row r="76" spans="1:6" ht="24">
      <c r="A76" s="287"/>
      <c r="B76" s="288"/>
      <c r="C76" s="288"/>
      <c r="D76" s="288"/>
      <c r="E76" s="288"/>
    </row>
    <row r="77" spans="1:6" ht="24">
      <c r="A77" s="287"/>
      <c r="B77" s="288"/>
      <c r="C77" s="288"/>
      <c r="D77" s="288"/>
      <c r="E77" s="288"/>
    </row>
    <row r="78" spans="1:6" ht="24">
      <c r="A78" s="287"/>
      <c r="B78" s="288"/>
      <c r="C78" s="288"/>
      <c r="D78" s="288"/>
      <c r="E78" s="288"/>
    </row>
    <row r="79" spans="1:6" ht="24">
      <c r="A79" s="287"/>
      <c r="B79" s="288"/>
      <c r="C79" s="288"/>
      <c r="D79" s="288"/>
      <c r="E79" s="288"/>
    </row>
    <row r="80" spans="1:6" ht="24">
      <c r="A80" s="287"/>
      <c r="B80" s="288"/>
      <c r="C80" s="288"/>
      <c r="D80" s="288"/>
      <c r="E80" s="288"/>
    </row>
    <row r="81" spans="1:5" ht="24">
      <c r="A81" s="287"/>
      <c r="B81" s="288"/>
      <c r="C81" s="288"/>
      <c r="D81" s="288"/>
      <c r="E81" s="288"/>
    </row>
    <row r="82" spans="1:5" ht="24">
      <c r="A82" s="287"/>
      <c r="B82" s="288"/>
      <c r="C82" s="288"/>
      <c r="D82" s="288"/>
      <c r="E82" s="288"/>
    </row>
    <row r="83" spans="1:5" ht="24">
      <c r="A83" s="287"/>
      <c r="B83" s="288"/>
      <c r="C83" s="288"/>
      <c r="D83" s="288"/>
      <c r="E83" s="288"/>
    </row>
    <row r="84" spans="1:5" ht="24">
      <c r="A84" s="287"/>
      <c r="B84" s="288"/>
      <c r="C84" s="288"/>
      <c r="D84" s="288"/>
      <c r="E84" s="288"/>
    </row>
    <row r="85" spans="1:5" ht="24">
      <c r="A85" s="287"/>
      <c r="B85" s="288"/>
      <c r="C85" s="288"/>
      <c r="D85" s="288"/>
      <c r="E85" s="288"/>
    </row>
    <row r="86" spans="1:5" ht="24">
      <c r="A86" s="287"/>
      <c r="B86" s="288"/>
      <c r="C86" s="288"/>
      <c r="D86" s="288"/>
      <c r="E86" s="288"/>
    </row>
    <row r="87" spans="1:5" ht="24">
      <c r="A87" s="287"/>
      <c r="B87" s="288"/>
      <c r="C87" s="288"/>
      <c r="D87" s="288"/>
      <c r="E87" s="288"/>
    </row>
    <row r="88" spans="1:5" ht="24">
      <c r="A88" s="287"/>
      <c r="B88" s="288"/>
      <c r="C88" s="288"/>
      <c r="D88" s="288"/>
      <c r="E88" s="288"/>
    </row>
    <row r="89" spans="1:5" ht="24">
      <c r="A89" s="287"/>
      <c r="B89" s="288"/>
      <c r="C89" s="288"/>
      <c r="D89" s="288"/>
      <c r="E89" s="288"/>
    </row>
    <row r="90" spans="1:5" ht="24">
      <c r="A90" s="287"/>
      <c r="B90" s="288"/>
      <c r="C90" s="288"/>
      <c r="D90" s="288"/>
      <c r="E90" s="288"/>
    </row>
    <row r="91" spans="1:5" ht="24">
      <c r="A91" s="287"/>
      <c r="B91" s="288"/>
      <c r="C91" s="288"/>
      <c r="D91" s="288"/>
      <c r="E91" s="288"/>
    </row>
    <row r="92" spans="1:5" ht="24">
      <c r="A92" s="287"/>
      <c r="B92" s="288"/>
      <c r="C92" s="288"/>
      <c r="D92" s="288"/>
      <c r="E92" s="288"/>
    </row>
    <row r="93" spans="1:5" ht="24">
      <c r="A93" s="287"/>
      <c r="B93" s="288"/>
      <c r="C93" s="288"/>
      <c r="D93" s="288"/>
      <c r="E93" s="288"/>
    </row>
    <row r="94" spans="1:5" ht="24">
      <c r="A94" s="287"/>
      <c r="B94" s="288"/>
      <c r="C94" s="288"/>
      <c r="D94" s="288"/>
      <c r="E94" s="288"/>
    </row>
    <row r="95" spans="1:5">
      <c r="A95" s="266"/>
      <c r="B95" s="289"/>
      <c r="C95" s="289"/>
      <c r="D95" s="289"/>
      <c r="E95" s="289"/>
    </row>
    <row r="96" spans="1:5">
      <c r="A96" s="266"/>
      <c r="B96" s="289"/>
      <c r="C96" s="289"/>
      <c r="D96" s="289"/>
      <c r="E96" s="289"/>
    </row>
    <row r="97" spans="1:6">
      <c r="A97" s="266"/>
      <c r="B97" s="289"/>
      <c r="C97" s="289"/>
      <c r="D97" s="289"/>
      <c r="E97" s="289"/>
    </row>
    <row r="98" spans="1:6">
      <c r="A98" s="266"/>
      <c r="B98" s="289"/>
      <c r="C98" s="289"/>
      <c r="D98" s="289"/>
      <c r="E98" s="289"/>
    </row>
    <row r="99" spans="1:6">
      <c r="A99" s="266"/>
      <c r="B99" s="266"/>
      <c r="C99" s="266"/>
      <c r="D99" s="266"/>
      <c r="E99" s="266"/>
    </row>
    <row r="100" spans="1:6" ht="26.25">
      <c r="A100" s="314"/>
      <c r="B100" s="314"/>
      <c r="C100" s="314"/>
      <c r="D100" s="314"/>
      <c r="E100" s="314"/>
      <c r="F100" s="285">
        <v>4</v>
      </c>
    </row>
    <row r="101" spans="1:6" ht="26.25">
      <c r="A101" s="314"/>
      <c r="B101" s="314"/>
      <c r="C101" s="314"/>
      <c r="D101" s="314"/>
      <c r="E101" s="314"/>
    </row>
    <row r="102" spans="1:6" ht="26.25">
      <c r="A102" s="314"/>
      <c r="B102" s="314"/>
      <c r="C102" s="314"/>
      <c r="D102" s="314"/>
      <c r="E102" s="314"/>
    </row>
    <row r="103" spans="1:6" ht="23.25">
      <c r="A103" s="286"/>
      <c r="B103" s="286"/>
      <c r="C103" s="286"/>
      <c r="D103" s="286"/>
      <c r="E103" s="286"/>
    </row>
    <row r="104" spans="1:6">
      <c r="A104" s="266"/>
      <c r="B104" s="289"/>
      <c r="C104" s="289"/>
      <c r="D104" s="289"/>
      <c r="E104" s="289"/>
    </row>
    <row r="105" spans="1:6">
      <c r="A105" s="266"/>
      <c r="B105" s="289"/>
      <c r="C105" s="289"/>
      <c r="D105" s="289"/>
      <c r="E105" s="289"/>
    </row>
    <row r="106" spans="1:6">
      <c r="A106" s="266"/>
      <c r="B106" s="289"/>
      <c r="C106" s="289"/>
      <c r="D106" s="289"/>
      <c r="E106" s="289"/>
    </row>
    <row r="107" spans="1:6">
      <c r="A107" s="266"/>
      <c r="B107" s="290"/>
      <c r="C107" s="290"/>
      <c r="D107" s="290"/>
      <c r="E107" s="290"/>
    </row>
    <row r="108" spans="1:6">
      <c r="A108" s="266"/>
      <c r="B108" s="289"/>
      <c r="C108" s="289"/>
      <c r="D108" s="289"/>
      <c r="E108" s="289"/>
    </row>
    <row r="109" spans="1:6">
      <c r="A109" s="266"/>
      <c r="B109" s="289"/>
      <c r="C109" s="289"/>
      <c r="D109" s="289"/>
      <c r="E109" s="289"/>
    </row>
    <row r="110" spans="1:6">
      <c r="A110" s="266"/>
      <c r="B110" s="289"/>
      <c r="C110" s="289"/>
      <c r="D110" s="289"/>
      <c r="E110" s="289"/>
    </row>
    <row r="111" spans="1:6">
      <c r="A111" s="266"/>
      <c r="B111" s="289"/>
      <c r="C111" s="289"/>
      <c r="D111" s="289"/>
      <c r="E111" s="289"/>
    </row>
    <row r="112" spans="1:6">
      <c r="A112" s="266"/>
      <c r="B112" s="289"/>
      <c r="C112" s="289"/>
      <c r="D112" s="289"/>
      <c r="E112" s="289"/>
    </row>
    <row r="113" spans="1:5">
      <c r="A113" s="266"/>
      <c r="B113" s="289"/>
      <c r="C113" s="289"/>
      <c r="D113" s="289"/>
      <c r="E113" s="289"/>
    </row>
    <row r="114" spans="1:5">
      <c r="A114" s="266"/>
      <c r="B114" s="289"/>
      <c r="C114" s="289"/>
      <c r="D114" s="290"/>
      <c r="E114" s="289"/>
    </row>
    <row r="115" spans="1:5">
      <c r="A115" s="266"/>
      <c r="B115" s="289"/>
      <c r="C115" s="289"/>
      <c r="D115" s="289"/>
      <c r="E115" s="289"/>
    </row>
    <row r="116" spans="1:5">
      <c r="A116" s="266"/>
      <c r="B116" s="289"/>
      <c r="C116" s="289"/>
      <c r="D116" s="289"/>
      <c r="E116" s="289"/>
    </row>
    <row r="117" spans="1:5">
      <c r="A117" s="266"/>
      <c r="B117" s="266"/>
      <c r="C117" s="266"/>
      <c r="D117" s="266"/>
      <c r="E117" s="266"/>
    </row>
    <row r="118" spans="1:5">
      <c r="A118" s="266"/>
      <c r="B118" s="266"/>
      <c r="C118" s="266"/>
      <c r="D118" s="266"/>
      <c r="E118" s="266"/>
    </row>
    <row r="119" spans="1:5">
      <c r="A119" s="266"/>
      <c r="B119" s="266"/>
      <c r="C119" s="266"/>
      <c r="D119" s="266"/>
      <c r="E119" s="266"/>
    </row>
    <row r="120" spans="1:5">
      <c r="A120" s="266"/>
      <c r="B120" s="266"/>
      <c r="C120" s="266"/>
      <c r="D120" s="266"/>
      <c r="E120" s="266"/>
    </row>
    <row r="121" spans="1:5">
      <c r="A121" s="266"/>
      <c r="B121" s="266"/>
      <c r="C121" s="266"/>
      <c r="D121" s="266"/>
      <c r="E121" s="266"/>
    </row>
    <row r="122" spans="1:5">
      <c r="A122" s="266"/>
      <c r="B122" s="266"/>
      <c r="C122" s="266"/>
      <c r="D122" s="266"/>
      <c r="E122" s="266"/>
    </row>
    <row r="123" spans="1:5">
      <c r="A123" s="266"/>
      <c r="B123" s="266"/>
      <c r="C123" s="266"/>
      <c r="D123" s="266"/>
      <c r="E123" s="266"/>
    </row>
    <row r="124" spans="1:5">
      <c r="A124" s="266"/>
      <c r="B124" s="266"/>
      <c r="C124" s="266"/>
      <c r="D124" s="266"/>
      <c r="E124" s="266"/>
    </row>
    <row r="125" spans="1:5">
      <c r="A125" s="266"/>
      <c r="B125" s="266"/>
      <c r="C125" s="266"/>
      <c r="D125" s="266"/>
      <c r="E125" s="266"/>
    </row>
    <row r="126" spans="1:5">
      <c r="A126" s="266"/>
      <c r="B126" s="266"/>
      <c r="C126" s="266"/>
      <c r="D126" s="266"/>
      <c r="E126" s="266"/>
    </row>
    <row r="127" spans="1:5">
      <c r="A127" s="266"/>
      <c r="B127" s="266"/>
      <c r="C127" s="266"/>
      <c r="D127" s="266"/>
      <c r="E127" s="266"/>
    </row>
    <row r="128" spans="1:5">
      <c r="A128" s="266"/>
      <c r="B128" s="266"/>
      <c r="C128" s="266"/>
      <c r="D128" s="266"/>
      <c r="E128" s="266"/>
    </row>
    <row r="129" spans="1:6">
      <c r="A129" s="266"/>
      <c r="B129" s="266"/>
      <c r="C129" s="266"/>
      <c r="D129" s="266"/>
      <c r="E129" s="266"/>
    </row>
    <row r="130" spans="1:6">
      <c r="A130" s="266"/>
      <c r="B130" s="266"/>
      <c r="C130" s="266"/>
      <c r="D130" s="266"/>
      <c r="E130" s="266"/>
    </row>
    <row r="131" spans="1:6" ht="26.25">
      <c r="A131" s="314"/>
      <c r="B131" s="314"/>
      <c r="C131" s="314"/>
      <c r="D131" s="314"/>
      <c r="E131" s="314"/>
      <c r="F131" s="285">
        <v>5</v>
      </c>
    </row>
    <row r="132" spans="1:6" ht="26.25">
      <c r="A132" s="314"/>
      <c r="B132" s="314"/>
      <c r="C132" s="314"/>
      <c r="D132" s="314"/>
      <c r="E132" s="314"/>
    </row>
    <row r="133" spans="1:6" ht="26.25">
      <c r="A133" s="314"/>
      <c r="B133" s="314"/>
      <c r="C133" s="314"/>
      <c r="D133" s="314"/>
      <c r="E133" s="314"/>
    </row>
    <row r="134" spans="1:6" ht="23.25">
      <c r="A134" s="286"/>
      <c r="B134" s="286"/>
      <c r="C134" s="286"/>
      <c r="D134" s="286"/>
      <c r="E134" s="286"/>
    </row>
    <row r="135" spans="1:6" ht="24">
      <c r="A135" s="287"/>
      <c r="B135" s="287"/>
      <c r="C135" s="287"/>
      <c r="D135" s="287"/>
      <c r="E135" s="287"/>
    </row>
    <row r="136" spans="1:6" ht="24">
      <c r="A136" s="287"/>
      <c r="B136" s="288"/>
      <c r="C136" s="288"/>
      <c r="D136" s="288"/>
      <c r="E136" s="288"/>
    </row>
    <row r="137" spans="1:6" ht="24">
      <c r="A137" s="287"/>
      <c r="B137" s="288"/>
      <c r="C137" s="288"/>
      <c r="D137" s="288"/>
      <c r="E137" s="288"/>
    </row>
    <row r="138" spans="1:6" ht="24">
      <c r="A138" s="287"/>
      <c r="B138" s="288"/>
      <c r="C138" s="288"/>
      <c r="D138" s="288"/>
      <c r="E138" s="288"/>
    </row>
    <row r="139" spans="1:6" ht="24">
      <c r="A139" s="287"/>
      <c r="B139" s="288"/>
      <c r="C139" s="288"/>
      <c r="D139" s="288"/>
      <c r="E139" s="288"/>
    </row>
    <row r="140" spans="1:6" ht="24">
      <c r="A140" s="287"/>
      <c r="B140" s="288"/>
      <c r="C140" s="288"/>
      <c r="D140" s="288"/>
      <c r="E140" s="288"/>
    </row>
    <row r="141" spans="1:6" ht="24">
      <c r="A141" s="287"/>
      <c r="B141" s="288"/>
      <c r="C141" s="288"/>
      <c r="D141" s="288"/>
      <c r="E141" s="288"/>
    </row>
    <row r="142" spans="1:6" ht="24">
      <c r="A142" s="287"/>
      <c r="B142" s="288"/>
      <c r="C142" s="288"/>
      <c r="D142" s="288"/>
      <c r="E142" s="288"/>
    </row>
    <row r="143" spans="1:6" ht="24">
      <c r="A143" s="287"/>
      <c r="B143" s="288"/>
      <c r="C143" s="288"/>
      <c r="D143" s="288"/>
      <c r="E143" s="288"/>
    </row>
    <row r="144" spans="1:6" ht="24">
      <c r="A144" s="287"/>
      <c r="B144" s="288"/>
      <c r="C144" s="288"/>
      <c r="D144" s="288"/>
      <c r="E144" s="288"/>
    </row>
    <row r="145" spans="1:5" ht="24">
      <c r="A145" s="287"/>
      <c r="B145" s="288"/>
      <c r="C145" s="288"/>
      <c r="D145" s="288"/>
      <c r="E145" s="288"/>
    </row>
    <row r="146" spans="1:5" ht="24">
      <c r="A146" s="287"/>
      <c r="B146" s="288"/>
      <c r="C146" s="288"/>
      <c r="D146" s="288"/>
      <c r="E146" s="288"/>
    </row>
    <row r="147" spans="1:5" ht="24">
      <c r="A147" s="287"/>
      <c r="B147" s="288"/>
      <c r="C147" s="288"/>
      <c r="D147" s="288"/>
      <c r="E147" s="288"/>
    </row>
    <row r="148" spans="1:5" ht="24">
      <c r="A148" s="287"/>
      <c r="B148" s="288"/>
      <c r="C148" s="288"/>
      <c r="D148" s="288"/>
      <c r="E148" s="288"/>
    </row>
    <row r="149" spans="1:5" ht="24">
      <c r="A149" s="287"/>
      <c r="B149" s="288"/>
      <c r="C149" s="288"/>
      <c r="D149" s="288"/>
      <c r="E149" s="288"/>
    </row>
    <row r="150" spans="1:5" ht="24">
      <c r="A150" s="287"/>
      <c r="B150" s="288"/>
      <c r="C150" s="288"/>
      <c r="D150" s="288"/>
      <c r="E150" s="288"/>
    </row>
    <row r="151" spans="1:5" ht="24">
      <c r="A151" s="287"/>
      <c r="B151" s="288"/>
      <c r="C151" s="288"/>
      <c r="D151" s="288"/>
      <c r="E151" s="288"/>
    </row>
    <row r="152" spans="1:5" ht="24">
      <c r="A152" s="287"/>
      <c r="B152" s="288"/>
      <c r="C152" s="288"/>
      <c r="D152" s="288"/>
      <c r="E152" s="288"/>
    </row>
    <row r="153" spans="1:5" ht="24">
      <c r="A153" s="287"/>
      <c r="B153" s="288"/>
      <c r="C153" s="288"/>
      <c r="D153" s="288"/>
      <c r="E153" s="288"/>
    </row>
    <row r="154" spans="1:5" ht="24">
      <c r="A154" s="287"/>
      <c r="B154" s="288"/>
      <c r="C154" s="288"/>
      <c r="D154" s="288"/>
      <c r="E154" s="288"/>
    </row>
    <row r="155" spans="1:5" ht="24">
      <c r="A155" s="287"/>
      <c r="B155" s="288"/>
      <c r="C155" s="288"/>
      <c r="D155" s="288"/>
      <c r="E155" s="288"/>
    </row>
    <row r="156" spans="1:5" ht="24">
      <c r="A156" s="287"/>
      <c r="B156" s="288"/>
      <c r="C156" s="288"/>
      <c r="D156" s="288"/>
      <c r="E156" s="288"/>
    </row>
    <row r="157" spans="1:5">
      <c r="A157" s="266"/>
      <c r="B157" s="289"/>
      <c r="C157" s="289"/>
      <c r="D157" s="289"/>
      <c r="E157" s="289"/>
    </row>
    <row r="158" spans="1:5">
      <c r="A158" s="266"/>
      <c r="B158" s="289"/>
      <c r="C158" s="289"/>
      <c r="D158" s="289"/>
      <c r="E158" s="289"/>
    </row>
    <row r="159" spans="1:5">
      <c r="A159" s="266"/>
      <c r="B159" s="289"/>
      <c r="C159" s="289"/>
      <c r="D159" s="289"/>
      <c r="E159" s="289"/>
    </row>
    <row r="160" spans="1:5">
      <c r="A160" s="266"/>
      <c r="B160" s="289"/>
      <c r="C160" s="289"/>
      <c r="D160" s="289"/>
      <c r="E160" s="289"/>
    </row>
    <row r="161" spans="1:6">
      <c r="A161" s="266"/>
      <c r="B161" s="266"/>
      <c r="C161" s="266"/>
      <c r="D161" s="266"/>
      <c r="E161" s="266"/>
    </row>
    <row r="162" spans="1:6">
      <c r="A162" s="266"/>
      <c r="B162" s="266"/>
      <c r="C162" s="266"/>
      <c r="D162" s="266"/>
      <c r="E162" s="266"/>
    </row>
    <row r="163" spans="1:6">
      <c r="A163" s="266"/>
      <c r="B163" s="266"/>
      <c r="C163" s="266"/>
      <c r="D163" s="266"/>
      <c r="E163" s="266"/>
    </row>
    <row r="164" spans="1:6">
      <c r="A164" s="266"/>
      <c r="B164" s="266"/>
      <c r="C164" s="266"/>
      <c r="D164" s="266"/>
      <c r="E164" s="266"/>
      <c r="F164" s="285">
        <v>6</v>
      </c>
    </row>
    <row r="165" spans="1:6" ht="26.25">
      <c r="A165" s="314"/>
      <c r="B165" s="314"/>
      <c r="C165" s="314"/>
      <c r="D165" s="314"/>
      <c r="E165" s="314"/>
    </row>
    <row r="166" spans="1:6" ht="26.25">
      <c r="A166" s="314"/>
      <c r="B166" s="314"/>
      <c r="C166" s="314"/>
      <c r="D166" s="314"/>
      <c r="E166" s="314"/>
    </row>
    <row r="167" spans="1:6" ht="26.25">
      <c r="A167" s="314"/>
      <c r="B167" s="314"/>
      <c r="C167" s="314"/>
      <c r="D167" s="314"/>
      <c r="E167" s="314"/>
    </row>
    <row r="168" spans="1:6" ht="23.25">
      <c r="A168" s="286"/>
      <c r="B168" s="286"/>
      <c r="C168" s="286"/>
      <c r="D168" s="286"/>
      <c r="E168" s="286"/>
    </row>
    <row r="169" spans="1:6">
      <c r="A169" s="266"/>
      <c r="B169" s="289"/>
      <c r="C169" s="289"/>
      <c r="D169" s="289"/>
      <c r="E169" s="289"/>
    </row>
    <row r="170" spans="1:6">
      <c r="A170" s="266"/>
      <c r="B170" s="289"/>
      <c r="C170" s="289"/>
      <c r="D170" s="289"/>
      <c r="E170" s="289"/>
    </row>
    <row r="171" spans="1:6">
      <c r="A171" s="266"/>
      <c r="B171" s="289"/>
      <c r="C171" s="289"/>
      <c r="D171" s="289"/>
      <c r="E171" s="289"/>
    </row>
    <row r="172" spans="1:6">
      <c r="A172" s="266"/>
      <c r="B172" s="290"/>
      <c r="C172" s="290"/>
      <c r="D172" s="290"/>
      <c r="E172" s="290"/>
    </row>
    <row r="173" spans="1:6">
      <c r="A173" s="266"/>
      <c r="B173" s="289"/>
      <c r="C173" s="289"/>
      <c r="D173" s="289"/>
      <c r="E173" s="289"/>
    </row>
    <row r="174" spans="1:6">
      <c r="A174" s="266"/>
      <c r="B174" s="289"/>
      <c r="C174" s="289"/>
      <c r="D174" s="289"/>
      <c r="E174" s="289"/>
    </row>
    <row r="175" spans="1:6">
      <c r="A175" s="266"/>
      <c r="B175" s="289"/>
      <c r="C175" s="289"/>
      <c r="D175" s="289"/>
      <c r="E175" s="289"/>
    </row>
    <row r="176" spans="1:6">
      <c r="A176" s="266"/>
      <c r="B176" s="289"/>
      <c r="C176" s="289"/>
      <c r="D176" s="289"/>
      <c r="E176" s="289"/>
    </row>
    <row r="177" spans="1:5">
      <c r="A177" s="266"/>
      <c r="B177" s="289"/>
      <c r="C177" s="289"/>
      <c r="D177" s="289"/>
      <c r="E177" s="289"/>
    </row>
    <row r="178" spans="1:5">
      <c r="A178" s="266"/>
      <c r="B178" s="289"/>
      <c r="C178" s="289"/>
      <c r="D178" s="289"/>
      <c r="E178" s="289"/>
    </row>
    <row r="179" spans="1:5">
      <c r="A179" s="266"/>
      <c r="B179" s="289"/>
      <c r="C179" s="289"/>
      <c r="D179" s="290"/>
      <c r="E179" s="289"/>
    </row>
    <row r="180" spans="1:5">
      <c r="A180" s="266"/>
      <c r="B180" s="289"/>
      <c r="C180" s="289"/>
      <c r="D180" s="289"/>
      <c r="E180" s="289"/>
    </row>
    <row r="181" spans="1:5">
      <c r="A181" s="266"/>
      <c r="B181" s="289"/>
      <c r="C181" s="289"/>
      <c r="D181" s="289"/>
      <c r="E181" s="289"/>
    </row>
    <row r="182" spans="1:5">
      <c r="A182" s="266"/>
      <c r="B182" s="266"/>
      <c r="C182" s="266"/>
      <c r="D182" s="266"/>
      <c r="E182" s="266"/>
    </row>
    <row r="183" spans="1:5">
      <c r="A183" s="266"/>
      <c r="B183" s="266"/>
      <c r="C183" s="266"/>
      <c r="D183" s="266"/>
      <c r="E183" s="266"/>
    </row>
    <row r="184" spans="1:5">
      <c r="A184" s="266"/>
      <c r="B184" s="266"/>
      <c r="C184" s="266"/>
      <c r="D184" s="266"/>
      <c r="E184" s="266"/>
    </row>
    <row r="185" spans="1:5">
      <c r="A185" s="266"/>
      <c r="B185" s="266"/>
      <c r="C185" s="266"/>
      <c r="D185" s="266"/>
      <c r="E185" s="266"/>
    </row>
    <row r="186" spans="1:5">
      <c r="A186" s="266"/>
      <c r="B186" s="266"/>
      <c r="C186" s="266"/>
      <c r="D186" s="266"/>
      <c r="E186" s="266"/>
    </row>
    <row r="187" spans="1:5">
      <c r="A187" s="266"/>
      <c r="B187" s="266"/>
      <c r="C187" s="266"/>
      <c r="D187" s="266"/>
      <c r="E187" s="266"/>
    </row>
    <row r="188" spans="1:5">
      <c r="A188" s="266"/>
      <c r="B188" s="266"/>
      <c r="C188" s="266"/>
      <c r="D188" s="266"/>
      <c r="E188" s="266"/>
    </row>
    <row r="189" spans="1:5">
      <c r="A189" s="266"/>
      <c r="B189" s="266"/>
      <c r="C189" s="266"/>
      <c r="D189" s="266"/>
      <c r="E189" s="266"/>
    </row>
    <row r="190" spans="1:5">
      <c r="A190" s="266"/>
      <c r="B190" s="266"/>
      <c r="C190" s="266"/>
      <c r="D190" s="266"/>
      <c r="E190" s="266"/>
    </row>
    <row r="191" spans="1:5">
      <c r="A191" s="266"/>
      <c r="B191" s="266"/>
      <c r="C191" s="266"/>
      <c r="D191" s="266"/>
      <c r="E191" s="266"/>
    </row>
    <row r="192" spans="1:5">
      <c r="A192" s="266"/>
      <c r="B192" s="266"/>
      <c r="C192" s="266"/>
      <c r="D192" s="266"/>
      <c r="E192" s="266"/>
    </row>
    <row r="193" spans="1:5">
      <c r="A193" s="266"/>
      <c r="B193" s="266"/>
      <c r="C193" s="266"/>
      <c r="D193" s="266"/>
      <c r="E193" s="266"/>
    </row>
    <row r="194" spans="1:5">
      <c r="A194" s="266"/>
      <c r="B194" s="266"/>
      <c r="C194" s="266"/>
      <c r="D194" s="266"/>
      <c r="E194" s="266"/>
    </row>
    <row r="195" spans="1:5">
      <c r="A195" s="266"/>
      <c r="B195" s="266"/>
      <c r="C195" s="266"/>
      <c r="D195" s="266"/>
      <c r="E195" s="266"/>
    </row>
    <row r="196" spans="1:5">
      <c r="A196" s="266"/>
      <c r="B196" s="266"/>
      <c r="C196" s="266"/>
      <c r="D196" s="266"/>
      <c r="E196" s="266"/>
    </row>
    <row r="197" spans="1:5">
      <c r="A197" s="266"/>
      <c r="B197" s="266"/>
      <c r="C197" s="266"/>
      <c r="D197" s="266"/>
      <c r="E197" s="266"/>
    </row>
    <row r="198" spans="1:5">
      <c r="A198" s="266"/>
      <c r="B198" s="266"/>
      <c r="C198" s="266"/>
      <c r="D198" s="266"/>
      <c r="E198" s="266"/>
    </row>
    <row r="199" spans="1:5">
      <c r="A199" s="266"/>
      <c r="B199" s="266"/>
      <c r="C199" s="266"/>
      <c r="D199" s="266"/>
      <c r="E199" s="266"/>
    </row>
    <row r="200" spans="1:5">
      <c r="A200" s="266"/>
      <c r="B200" s="266"/>
      <c r="C200" s="266"/>
      <c r="D200" s="266"/>
      <c r="E200" s="266"/>
    </row>
    <row r="201" spans="1:5">
      <c r="A201" s="266"/>
      <c r="B201" s="266"/>
      <c r="C201" s="266"/>
      <c r="D201" s="266"/>
      <c r="E201" s="266"/>
    </row>
    <row r="202" spans="1:5">
      <c r="A202" s="266"/>
      <c r="B202" s="266"/>
      <c r="C202" s="266"/>
      <c r="D202" s="266"/>
      <c r="E202" s="266"/>
    </row>
    <row r="203" spans="1:5">
      <c r="A203" s="266"/>
      <c r="B203" s="266"/>
      <c r="C203" s="266"/>
      <c r="D203" s="266"/>
      <c r="E203" s="266"/>
    </row>
    <row r="204" spans="1:5">
      <c r="A204" s="266"/>
      <c r="B204" s="266"/>
      <c r="C204" s="266"/>
      <c r="D204" s="266"/>
      <c r="E204" s="266"/>
    </row>
    <row r="205" spans="1:5">
      <c r="A205" s="266"/>
      <c r="B205" s="266"/>
      <c r="C205" s="266"/>
      <c r="D205" s="266"/>
      <c r="E205" s="266"/>
    </row>
    <row r="206" spans="1:5">
      <c r="A206" s="266"/>
      <c r="B206" s="266"/>
      <c r="C206" s="266"/>
      <c r="D206" s="266"/>
      <c r="E206" s="266"/>
    </row>
    <row r="207" spans="1:5">
      <c r="A207" s="266"/>
      <c r="B207" s="266"/>
      <c r="C207" s="266"/>
      <c r="D207" s="266"/>
      <c r="E207" s="266"/>
    </row>
    <row r="208" spans="1:5">
      <c r="A208" s="266"/>
      <c r="B208" s="266"/>
      <c r="C208" s="266"/>
      <c r="D208" s="266"/>
      <c r="E208" s="266"/>
    </row>
    <row r="209" spans="1:5">
      <c r="A209" s="266"/>
      <c r="B209" s="266"/>
      <c r="C209" s="266"/>
      <c r="D209" s="266"/>
      <c r="E209" s="266"/>
    </row>
    <row r="210" spans="1:5">
      <c r="A210" s="266"/>
      <c r="B210" s="266"/>
      <c r="C210" s="266"/>
      <c r="D210" s="266"/>
      <c r="E210" s="266"/>
    </row>
    <row r="211" spans="1:5">
      <c r="A211" s="266"/>
      <c r="B211" s="266"/>
      <c r="C211" s="266"/>
      <c r="D211" s="266"/>
      <c r="E211" s="266"/>
    </row>
    <row r="212" spans="1:5">
      <c r="A212" s="266"/>
      <c r="B212" s="266"/>
      <c r="C212" s="266"/>
      <c r="D212" s="266"/>
      <c r="E212" s="266"/>
    </row>
    <row r="213" spans="1:5">
      <c r="A213" s="266"/>
      <c r="B213" s="266"/>
      <c r="C213" s="266"/>
      <c r="D213" s="266"/>
      <c r="E213" s="266"/>
    </row>
    <row r="214" spans="1:5">
      <c r="A214" s="266"/>
      <c r="B214" s="266"/>
      <c r="C214" s="266"/>
      <c r="D214" s="266"/>
      <c r="E214" s="266"/>
    </row>
    <row r="215" spans="1:5">
      <c r="A215" s="266"/>
      <c r="B215" s="266"/>
      <c r="C215" s="266"/>
      <c r="D215" s="266"/>
      <c r="E215" s="266"/>
    </row>
    <row r="216" spans="1:5">
      <c r="A216" s="266"/>
      <c r="B216" s="266"/>
      <c r="C216" s="266"/>
      <c r="D216" s="266"/>
      <c r="E216" s="266"/>
    </row>
    <row r="217" spans="1:5">
      <c r="A217" s="266"/>
      <c r="B217" s="266"/>
      <c r="C217" s="266"/>
      <c r="D217" s="266"/>
      <c r="E217" s="266"/>
    </row>
    <row r="218" spans="1:5">
      <c r="A218" s="266"/>
      <c r="B218" s="266"/>
      <c r="C218" s="266"/>
      <c r="D218" s="266"/>
      <c r="E218" s="266"/>
    </row>
    <row r="219" spans="1:5">
      <c r="A219" s="266"/>
      <c r="B219" s="266"/>
      <c r="C219" s="266"/>
      <c r="D219" s="266"/>
      <c r="E219" s="266"/>
    </row>
    <row r="220" spans="1:5">
      <c r="A220" s="266"/>
      <c r="B220" s="266"/>
      <c r="C220" s="266"/>
      <c r="D220" s="266"/>
      <c r="E220" s="266"/>
    </row>
    <row r="221" spans="1:5">
      <c r="A221" s="266"/>
      <c r="B221" s="266"/>
      <c r="C221" s="266"/>
      <c r="D221" s="266"/>
      <c r="E221" s="266"/>
    </row>
    <row r="222" spans="1:5">
      <c r="A222" s="266"/>
      <c r="B222" s="266"/>
      <c r="C222" s="266"/>
      <c r="D222" s="266"/>
      <c r="E222" s="266"/>
    </row>
    <row r="223" spans="1:5">
      <c r="A223" s="266"/>
      <c r="B223" s="266"/>
      <c r="C223" s="266"/>
      <c r="D223" s="266"/>
      <c r="E223" s="266"/>
    </row>
    <row r="224" spans="1:5">
      <c r="A224" s="266"/>
      <c r="B224" s="266"/>
      <c r="C224" s="266"/>
      <c r="D224" s="266"/>
      <c r="E224" s="266"/>
    </row>
    <row r="225" spans="1:5">
      <c r="A225" s="266"/>
      <c r="B225" s="266"/>
      <c r="C225" s="266"/>
      <c r="D225" s="266"/>
      <c r="E225" s="266"/>
    </row>
    <row r="226" spans="1:5">
      <c r="A226" s="266"/>
      <c r="B226" s="266"/>
      <c r="C226" s="266"/>
      <c r="D226" s="266"/>
      <c r="E226" s="266"/>
    </row>
    <row r="227" spans="1:5">
      <c r="A227" s="266"/>
      <c r="B227" s="266"/>
      <c r="C227" s="266"/>
      <c r="D227" s="266"/>
      <c r="E227" s="266"/>
    </row>
    <row r="228" spans="1:5">
      <c r="A228" s="266"/>
      <c r="B228" s="266"/>
      <c r="C228" s="266"/>
      <c r="D228" s="266"/>
      <c r="E228" s="266"/>
    </row>
    <row r="229" spans="1:5">
      <c r="A229" s="266"/>
      <c r="B229" s="266"/>
      <c r="C229" s="266"/>
      <c r="D229" s="266"/>
      <c r="E229" s="266"/>
    </row>
    <row r="230" spans="1:5">
      <c r="A230" s="266"/>
      <c r="B230" s="266"/>
      <c r="C230" s="266"/>
      <c r="D230" s="266"/>
      <c r="E230" s="266"/>
    </row>
    <row r="231" spans="1:5">
      <c r="A231" s="266"/>
      <c r="B231" s="266"/>
      <c r="C231" s="266"/>
      <c r="D231" s="266"/>
      <c r="E231" s="266"/>
    </row>
    <row r="232" spans="1:5">
      <c r="A232" s="266"/>
      <c r="B232" s="266"/>
      <c r="C232" s="266"/>
      <c r="D232" s="266"/>
      <c r="E232" s="266"/>
    </row>
    <row r="233" spans="1:5">
      <c r="A233" s="266"/>
      <c r="B233" s="266"/>
      <c r="C233" s="266"/>
      <c r="D233" s="266"/>
      <c r="E233" s="266"/>
    </row>
    <row r="234" spans="1:5">
      <c r="A234" s="266"/>
      <c r="B234" s="266"/>
      <c r="C234" s="266"/>
      <c r="D234" s="266"/>
      <c r="E234" s="266"/>
    </row>
    <row r="235" spans="1:5">
      <c r="A235" s="266"/>
      <c r="B235" s="266"/>
      <c r="C235" s="266"/>
      <c r="D235" s="266"/>
      <c r="E235" s="266"/>
    </row>
    <row r="236" spans="1:5">
      <c r="A236" s="266"/>
      <c r="B236" s="266"/>
      <c r="C236" s="266"/>
      <c r="D236" s="266"/>
      <c r="E236" s="266"/>
    </row>
    <row r="237" spans="1:5">
      <c r="A237" s="266"/>
      <c r="B237" s="266"/>
      <c r="C237" s="266"/>
      <c r="D237" s="266"/>
      <c r="E237" s="266"/>
    </row>
    <row r="238" spans="1:5">
      <c r="A238" s="266"/>
      <c r="B238" s="266"/>
      <c r="C238" s="266"/>
      <c r="D238" s="266"/>
      <c r="E238" s="266"/>
    </row>
    <row r="239" spans="1:5">
      <c r="A239" s="266"/>
      <c r="B239" s="266"/>
      <c r="C239" s="266"/>
      <c r="D239" s="266"/>
      <c r="E239" s="266"/>
    </row>
    <row r="240" spans="1:5">
      <c r="A240" s="266"/>
      <c r="B240" s="266"/>
      <c r="C240" s="266"/>
      <c r="D240" s="266"/>
      <c r="E240" s="266"/>
    </row>
    <row r="241" spans="1:5">
      <c r="A241" s="266"/>
      <c r="B241" s="266"/>
      <c r="C241" s="266"/>
      <c r="D241" s="266"/>
      <c r="E241" s="266"/>
    </row>
    <row r="242" spans="1:5">
      <c r="A242" s="266"/>
      <c r="B242" s="266"/>
      <c r="C242" s="266"/>
      <c r="D242" s="266"/>
      <c r="E242" s="266"/>
    </row>
    <row r="243" spans="1:5">
      <c r="A243" s="266"/>
      <c r="B243" s="266"/>
      <c r="C243" s="266"/>
      <c r="D243" s="266"/>
      <c r="E243" s="266"/>
    </row>
    <row r="244" spans="1:5">
      <c r="A244" s="266"/>
      <c r="B244" s="266"/>
      <c r="C244" s="266"/>
      <c r="D244" s="266"/>
      <c r="E244" s="266"/>
    </row>
    <row r="245" spans="1:5">
      <c r="A245" s="266"/>
      <c r="B245" s="266"/>
      <c r="C245" s="266"/>
      <c r="D245" s="266"/>
      <c r="E245" s="266"/>
    </row>
  </sheetData>
  <mergeCells count="18">
    <mergeCell ref="A167:E167"/>
    <mergeCell ref="A69:E69"/>
    <mergeCell ref="A70:E70"/>
    <mergeCell ref="A71:E71"/>
    <mergeCell ref="A100:E100"/>
    <mergeCell ref="A101:E101"/>
    <mergeCell ref="A102:E102"/>
    <mergeCell ref="A131:E131"/>
    <mergeCell ref="A132:E132"/>
    <mergeCell ref="A133:E133"/>
    <mergeCell ref="A165:E165"/>
    <mergeCell ref="A166:E166"/>
    <mergeCell ref="A40:E40"/>
    <mergeCell ref="A1:E1"/>
    <mergeCell ref="A2:E2"/>
    <mergeCell ref="A3:E3"/>
    <mergeCell ref="A38:E38"/>
    <mergeCell ref="A39:E39"/>
  </mergeCells>
  <pageMargins left="0.75" right="0.31" top="0.77" bottom="0.7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9" sqref="H9"/>
    </sheetView>
  </sheetViews>
  <sheetFormatPr defaultRowHeight="24"/>
  <cols>
    <col min="1" max="1" width="9.28515625" style="1" customWidth="1"/>
    <col min="2" max="2" width="11.28515625" style="1" customWidth="1"/>
    <col min="3" max="3" width="21.28515625" style="1" customWidth="1"/>
    <col min="4" max="4" width="16.7109375" style="1" customWidth="1"/>
    <col min="5" max="5" width="18" style="1" customWidth="1"/>
    <col min="6" max="6" width="15" style="1" bestFit="1" customWidth="1"/>
    <col min="7" max="7" width="9.140625" style="1"/>
    <col min="8" max="8" width="15" style="1" bestFit="1" customWidth="1"/>
    <col min="9" max="16384" width="9.140625" style="1"/>
  </cols>
  <sheetData>
    <row r="1" spans="1:8" ht="23.25" customHeight="1">
      <c r="A1" s="315" t="s">
        <v>18</v>
      </c>
      <c r="B1" s="315"/>
      <c r="C1" s="315"/>
      <c r="D1" s="315"/>
      <c r="E1" s="315"/>
    </row>
    <row r="3" spans="1:8">
      <c r="A3" s="2" t="s">
        <v>4</v>
      </c>
    </row>
    <row r="5" spans="1:8">
      <c r="A5" s="1" t="s">
        <v>19</v>
      </c>
      <c r="H5" s="3">
        <v>0</v>
      </c>
    </row>
    <row r="6" spans="1:8">
      <c r="A6" s="1" t="s">
        <v>20</v>
      </c>
    </row>
    <row r="7" spans="1:8">
      <c r="B7" s="8" t="s">
        <v>21</v>
      </c>
    </row>
    <row r="8" spans="1:8">
      <c r="B8" s="1" t="s">
        <v>22</v>
      </c>
      <c r="C8" s="6" t="s">
        <v>24</v>
      </c>
      <c r="D8" s="6"/>
      <c r="E8" s="3">
        <v>22039462.02</v>
      </c>
    </row>
    <row r="9" spans="1:8">
      <c r="C9" s="6" t="s">
        <v>23</v>
      </c>
      <c r="D9" s="6"/>
      <c r="E9" s="3">
        <v>42898.52</v>
      </c>
    </row>
    <row r="10" spans="1:8">
      <c r="C10" s="6" t="s">
        <v>25</v>
      </c>
      <c r="D10" s="6"/>
      <c r="E10" s="3">
        <v>17554.46</v>
      </c>
    </row>
    <row r="11" spans="1:8">
      <c r="C11" s="6" t="s">
        <v>26</v>
      </c>
      <c r="D11" s="6"/>
      <c r="E11" s="3">
        <v>40425.31</v>
      </c>
    </row>
    <row r="12" spans="1:8">
      <c r="C12" s="6" t="s">
        <v>27</v>
      </c>
      <c r="D12" s="6"/>
      <c r="E12" s="3">
        <v>15487.12</v>
      </c>
    </row>
    <row r="13" spans="1:8">
      <c r="C13" s="6"/>
      <c r="D13" s="6"/>
      <c r="E13" s="3"/>
    </row>
    <row r="14" spans="1:8">
      <c r="B14" s="8" t="s">
        <v>28</v>
      </c>
    </row>
    <row r="15" spans="1:8">
      <c r="B15" s="1" t="s">
        <v>22</v>
      </c>
      <c r="C15" s="6" t="s">
        <v>29</v>
      </c>
      <c r="D15" s="6"/>
      <c r="E15" s="3">
        <v>5430682.6900000004</v>
      </c>
      <c r="H15" s="3"/>
    </row>
    <row r="16" spans="1:8">
      <c r="B16" s="1" t="s">
        <v>30</v>
      </c>
      <c r="C16" s="6" t="s">
        <v>33</v>
      </c>
      <c r="D16" s="6"/>
      <c r="E16" s="3">
        <v>4630234.97</v>
      </c>
      <c r="H16" s="3"/>
    </row>
    <row r="17" spans="2:9">
      <c r="B17" s="1" t="s">
        <v>31</v>
      </c>
      <c r="C17" s="6" t="s">
        <v>32</v>
      </c>
      <c r="D17" s="6"/>
      <c r="E17" s="3">
        <v>6283897.4000000004</v>
      </c>
    </row>
    <row r="18" spans="2:9" ht="24.75" thickBot="1">
      <c r="E18" s="5">
        <f>SUM(E8:E17)</f>
        <v>38500642.490000002</v>
      </c>
    </row>
    <row r="19" spans="2:9" ht="24.75" thickTop="1"/>
    <row r="24" spans="2:9">
      <c r="I24" s="3"/>
    </row>
    <row r="26" spans="2:9">
      <c r="C26" s="6"/>
      <c r="D26" s="6"/>
      <c r="H26" s="3"/>
    </row>
    <row r="27" spans="2:9">
      <c r="I27" s="3"/>
    </row>
    <row r="28" spans="2:9">
      <c r="I28" s="3"/>
    </row>
    <row r="29" spans="2:9">
      <c r="I29" s="3"/>
    </row>
    <row r="30" spans="2:9">
      <c r="I30" s="3"/>
    </row>
    <row r="31" spans="2:9">
      <c r="I31" s="3"/>
    </row>
  </sheetData>
  <mergeCells count="1">
    <mergeCell ref="A1:E1"/>
  </mergeCells>
  <phoneticPr fontId="6" type="noConversion"/>
  <pageMargins left="0.94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H9" sqref="H9"/>
    </sheetView>
  </sheetViews>
  <sheetFormatPr defaultRowHeight="24"/>
  <cols>
    <col min="1" max="1" width="3.7109375" style="1" customWidth="1"/>
    <col min="2" max="2" width="13.7109375" style="1" customWidth="1"/>
    <col min="3" max="3" width="49.7109375" style="1" customWidth="1"/>
    <col min="4" max="4" width="14.5703125" style="1" bestFit="1" customWidth="1"/>
    <col min="5" max="16384" width="9.140625" style="1"/>
  </cols>
  <sheetData>
    <row r="2" spans="1:4" ht="21" customHeight="1">
      <c r="B2" s="7" t="s">
        <v>18</v>
      </c>
    </row>
    <row r="4" spans="1:4">
      <c r="A4" s="2" t="s">
        <v>73</v>
      </c>
    </row>
    <row r="6" spans="1:4">
      <c r="B6" s="1" t="s">
        <v>34</v>
      </c>
      <c r="D6" s="3">
        <v>25775.19</v>
      </c>
    </row>
    <row r="7" spans="1:4">
      <c r="B7" s="1" t="s">
        <v>35</v>
      </c>
      <c r="D7" s="3">
        <v>1282680.5</v>
      </c>
    </row>
    <row r="8" spans="1:4">
      <c r="B8" s="1" t="s">
        <v>264</v>
      </c>
      <c r="D8" s="3">
        <v>42898.52</v>
      </c>
    </row>
    <row r="9" spans="1:4">
      <c r="B9" s="1" t="s">
        <v>98</v>
      </c>
      <c r="C9" s="1" t="s">
        <v>100</v>
      </c>
      <c r="D9" s="3">
        <v>10500</v>
      </c>
    </row>
    <row r="10" spans="1:4">
      <c r="C10" s="1" t="s">
        <v>101</v>
      </c>
      <c r="D10" s="3">
        <v>91500</v>
      </c>
    </row>
    <row r="11" spans="1:4">
      <c r="D11" s="3"/>
    </row>
    <row r="12" spans="1:4" ht="24.75" thickBot="1">
      <c r="C12" s="2" t="s">
        <v>36</v>
      </c>
      <c r="D12" s="5">
        <f>SUM(D6:D10)</f>
        <v>1453354.21</v>
      </c>
    </row>
    <row r="13" spans="1:4" ht="24.75" thickTop="1"/>
  </sheetData>
  <phoneticPr fontId="6" type="noConversion"/>
  <pageMargins left="0.98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B4" zoomScale="120" zoomScaleNormal="120" workbookViewId="0">
      <selection activeCell="H9" sqref="H9"/>
    </sheetView>
  </sheetViews>
  <sheetFormatPr defaultRowHeight="24"/>
  <cols>
    <col min="1" max="1" width="4.42578125" style="1" customWidth="1"/>
    <col min="2" max="2" width="36" style="1" customWidth="1"/>
    <col min="3" max="3" width="14.140625" style="1" customWidth="1"/>
    <col min="4" max="4" width="14.85546875" style="1" bestFit="1" customWidth="1"/>
    <col min="5" max="5" width="14.28515625" style="1" customWidth="1"/>
    <col min="6" max="6" width="11.42578125" style="1" customWidth="1"/>
    <col min="7" max="7" width="14.85546875" style="1" bestFit="1" customWidth="1"/>
    <col min="8" max="8" width="39.140625" style="1" customWidth="1"/>
    <col min="9" max="16384" width="9.140625" style="1"/>
  </cols>
  <sheetData>
    <row r="1" spans="1:8">
      <c r="G1" s="317" t="s">
        <v>99</v>
      </c>
      <c r="H1" s="317"/>
    </row>
    <row r="2" spans="1:8" s="46" customFormat="1" ht="27.75">
      <c r="A2" s="315" t="s">
        <v>0</v>
      </c>
      <c r="B2" s="315"/>
      <c r="C2" s="315"/>
      <c r="D2" s="315"/>
      <c r="E2" s="315"/>
      <c r="F2" s="315"/>
      <c r="G2" s="315"/>
      <c r="H2" s="315"/>
    </row>
    <row r="3" spans="1:8" s="46" customFormat="1" ht="27.75">
      <c r="A3" s="315" t="s">
        <v>72</v>
      </c>
      <c r="B3" s="315"/>
      <c r="C3" s="315"/>
      <c r="D3" s="315"/>
      <c r="E3" s="315"/>
      <c r="F3" s="315"/>
      <c r="G3" s="315"/>
      <c r="H3" s="315"/>
    </row>
    <row r="4" spans="1:8" s="46" customFormat="1" ht="27.75">
      <c r="A4" s="315" t="s">
        <v>43</v>
      </c>
      <c r="B4" s="315"/>
      <c r="C4" s="315"/>
      <c r="D4" s="315"/>
      <c r="E4" s="315"/>
      <c r="F4" s="315"/>
      <c r="G4" s="315"/>
      <c r="H4" s="315"/>
    </row>
    <row r="5" spans="1:8" s="46" customFormat="1" ht="23.25" customHeight="1">
      <c r="A5" s="318" t="s">
        <v>342</v>
      </c>
      <c r="B5" s="318"/>
      <c r="C5" s="318"/>
      <c r="D5" s="318"/>
      <c r="E5" s="318"/>
      <c r="F5" s="318"/>
      <c r="G5" s="318"/>
      <c r="H5" s="318"/>
    </row>
    <row r="6" spans="1:8" ht="23.25" customHeight="1">
      <c r="A6" s="316" t="s">
        <v>44</v>
      </c>
      <c r="B6" s="316" t="s">
        <v>45</v>
      </c>
      <c r="C6" s="319" t="s">
        <v>46</v>
      </c>
      <c r="D6" s="320"/>
      <c r="E6" s="321"/>
      <c r="F6" s="316" t="s">
        <v>49</v>
      </c>
      <c r="G6" s="316" t="s">
        <v>50</v>
      </c>
      <c r="H6" s="316" t="s">
        <v>51</v>
      </c>
    </row>
    <row r="7" spans="1:8" ht="23.25" customHeight="1">
      <c r="A7" s="316"/>
      <c r="B7" s="316"/>
      <c r="C7" s="21" t="s">
        <v>47</v>
      </c>
      <c r="D7" s="21" t="s">
        <v>48</v>
      </c>
      <c r="E7" s="21" t="s">
        <v>52</v>
      </c>
      <c r="F7" s="316"/>
      <c r="G7" s="316"/>
      <c r="H7" s="316"/>
    </row>
    <row r="8" spans="1:8" ht="23.25" customHeight="1">
      <c r="A8" s="16"/>
      <c r="B8" s="225" t="s">
        <v>55</v>
      </c>
      <c r="C8" s="18"/>
      <c r="D8" s="18"/>
      <c r="E8" s="18"/>
      <c r="F8" s="18"/>
      <c r="G8" s="18"/>
      <c r="H8" s="14"/>
    </row>
    <row r="9" spans="1:8" ht="23.25" customHeight="1">
      <c r="A9" s="16">
        <v>1</v>
      </c>
      <c r="B9" s="14" t="s">
        <v>56</v>
      </c>
      <c r="C9" s="18">
        <v>72000</v>
      </c>
      <c r="D9" s="18">
        <v>0</v>
      </c>
      <c r="E9" s="18">
        <v>0</v>
      </c>
      <c r="F9" s="18">
        <v>0</v>
      </c>
      <c r="G9" s="18">
        <v>72000</v>
      </c>
      <c r="H9" s="14" t="s">
        <v>64</v>
      </c>
    </row>
    <row r="10" spans="1:8" ht="23.25" customHeight="1">
      <c r="A10" s="16"/>
      <c r="B10" s="14"/>
      <c r="C10" s="18"/>
      <c r="D10" s="18"/>
      <c r="E10" s="18"/>
      <c r="F10" s="18"/>
      <c r="G10" s="18"/>
      <c r="H10" s="14" t="s">
        <v>343</v>
      </c>
    </row>
    <row r="11" spans="1:8" ht="23.25" customHeight="1">
      <c r="A11" s="16"/>
      <c r="B11" s="21" t="s">
        <v>57</v>
      </c>
      <c r="C11" s="20">
        <f>SUM(C9:C10)</f>
        <v>72000</v>
      </c>
      <c r="D11" s="20">
        <f>SUM(D9:D10)</f>
        <v>0</v>
      </c>
      <c r="E11" s="20">
        <f>SUM(E9:E10)</f>
        <v>0</v>
      </c>
      <c r="F11" s="20">
        <f>SUM(F9:F10)</f>
        <v>0</v>
      </c>
      <c r="G11" s="20">
        <f>SUM(G9:G10)</f>
        <v>72000</v>
      </c>
      <c r="H11" s="12"/>
    </row>
    <row r="12" spans="1:8" ht="23.25" customHeight="1">
      <c r="A12" s="16"/>
      <c r="B12" s="225" t="s">
        <v>58</v>
      </c>
      <c r="C12" s="18"/>
      <c r="D12" s="18"/>
      <c r="E12" s="18"/>
      <c r="F12" s="18"/>
      <c r="G12" s="18"/>
      <c r="H12" s="14"/>
    </row>
    <row r="13" spans="1:8" ht="23.25" customHeight="1">
      <c r="A13" s="16">
        <v>1</v>
      </c>
      <c r="B13" s="14" t="s">
        <v>59</v>
      </c>
      <c r="C13" s="18">
        <v>133812.9</v>
      </c>
      <c r="D13" s="18">
        <v>0</v>
      </c>
      <c r="E13" s="18">
        <v>0</v>
      </c>
      <c r="F13" s="18">
        <v>0</v>
      </c>
      <c r="G13" s="18">
        <v>133812.9</v>
      </c>
      <c r="H13" s="14" t="s">
        <v>64</v>
      </c>
    </row>
    <row r="14" spans="1:8" ht="23.25" customHeight="1">
      <c r="A14" s="16"/>
      <c r="B14" s="14"/>
      <c r="C14" s="18"/>
      <c r="D14" s="18"/>
      <c r="E14" s="18"/>
      <c r="F14" s="18"/>
      <c r="G14" s="18"/>
      <c r="H14" s="14" t="s">
        <v>343</v>
      </c>
    </row>
    <row r="15" spans="1:8" ht="23.25" customHeight="1">
      <c r="A15" s="16"/>
      <c r="B15" s="21" t="s">
        <v>60</v>
      </c>
      <c r="C15" s="20">
        <f>SUM(C13:C14)</f>
        <v>133812.9</v>
      </c>
      <c r="D15" s="20">
        <f>SUM(D13:D14)</f>
        <v>0</v>
      </c>
      <c r="E15" s="20">
        <f>SUM(E13:E14)</f>
        <v>0</v>
      </c>
      <c r="F15" s="20">
        <f>SUM(F13:F14)</f>
        <v>0</v>
      </c>
      <c r="G15" s="20">
        <f>SUM(G13:G14)</f>
        <v>133812.9</v>
      </c>
      <c r="H15" s="12"/>
    </row>
    <row r="16" spans="1:8" ht="23.25" customHeight="1">
      <c r="A16" s="16"/>
      <c r="B16" s="225" t="s">
        <v>61</v>
      </c>
      <c r="C16" s="18"/>
      <c r="D16" s="18"/>
      <c r="E16" s="18"/>
      <c r="F16" s="18"/>
      <c r="G16" s="18"/>
      <c r="H16" s="14"/>
    </row>
    <row r="17" spans="1:8" ht="23.25" customHeight="1">
      <c r="A17" s="16">
        <v>1</v>
      </c>
      <c r="B17" s="14" t="s">
        <v>344</v>
      </c>
      <c r="C17" s="18">
        <v>277500</v>
      </c>
      <c r="D17" s="18">
        <v>0</v>
      </c>
      <c r="E17" s="18">
        <v>0</v>
      </c>
      <c r="F17" s="18">
        <v>0</v>
      </c>
      <c r="G17" s="18">
        <v>277500</v>
      </c>
      <c r="H17" s="14" t="s">
        <v>64</v>
      </c>
    </row>
    <row r="18" spans="1:8" ht="23.25" customHeight="1">
      <c r="A18" s="16"/>
      <c r="B18" s="14" t="s">
        <v>345</v>
      </c>
      <c r="C18" s="18"/>
      <c r="D18" s="18"/>
      <c r="E18" s="18"/>
      <c r="F18" s="18"/>
      <c r="G18" s="18"/>
      <c r="H18" s="14" t="s">
        <v>343</v>
      </c>
    </row>
    <row r="19" spans="1:8" ht="23.25" customHeight="1">
      <c r="A19" s="16">
        <v>2</v>
      </c>
      <c r="B19" s="14" t="s">
        <v>346</v>
      </c>
      <c r="C19" s="18"/>
      <c r="D19" s="18">
        <v>518500</v>
      </c>
      <c r="E19" s="18">
        <v>0</v>
      </c>
      <c r="F19" s="18">
        <v>0</v>
      </c>
      <c r="G19" s="18">
        <v>518500</v>
      </c>
      <c r="H19" s="14" t="s">
        <v>64</v>
      </c>
    </row>
    <row r="20" spans="1:8" ht="23.25" customHeight="1">
      <c r="A20" s="16"/>
      <c r="B20" s="14" t="s">
        <v>347</v>
      </c>
      <c r="C20" s="18"/>
      <c r="D20" s="18"/>
      <c r="E20" s="18"/>
      <c r="F20" s="18"/>
      <c r="G20" s="18"/>
      <c r="H20" s="14" t="s">
        <v>343</v>
      </c>
    </row>
    <row r="21" spans="1:8" ht="23.25" customHeight="1">
      <c r="A21" s="16">
        <v>3</v>
      </c>
      <c r="B21" s="14" t="s">
        <v>348</v>
      </c>
      <c r="C21" s="18"/>
      <c r="D21" s="18">
        <v>448000</v>
      </c>
      <c r="E21" s="18">
        <v>0</v>
      </c>
      <c r="F21" s="18">
        <v>0</v>
      </c>
      <c r="G21" s="18">
        <v>448000</v>
      </c>
      <c r="H21" s="14" t="s">
        <v>64</v>
      </c>
    </row>
    <row r="22" spans="1:8" ht="23.25" customHeight="1">
      <c r="A22" s="16"/>
      <c r="B22" s="14" t="s">
        <v>349</v>
      </c>
      <c r="C22" s="18"/>
      <c r="D22" s="18"/>
      <c r="E22" s="18"/>
      <c r="F22" s="18"/>
      <c r="G22" s="18"/>
      <c r="H22" s="14" t="s">
        <v>343</v>
      </c>
    </row>
    <row r="23" spans="1:8" ht="23.25" customHeight="1">
      <c r="A23" s="16"/>
      <c r="B23" s="22" t="s">
        <v>62</v>
      </c>
      <c r="C23" s="23">
        <f>SUM(C17:C22)</f>
        <v>277500</v>
      </c>
      <c r="D23" s="23">
        <f>SUM(D17:D22)</f>
        <v>966500</v>
      </c>
      <c r="E23" s="23">
        <f>SUM(E17:E22)</f>
        <v>0</v>
      </c>
      <c r="F23" s="23">
        <f>SUM(F17:F22)</f>
        <v>0</v>
      </c>
      <c r="G23" s="23">
        <f>SUM(G17:G22)</f>
        <v>1244000</v>
      </c>
      <c r="H23" s="13"/>
    </row>
    <row r="24" spans="1:8" s="27" customFormat="1" ht="23.25" customHeight="1" thickBot="1">
      <c r="A24" s="24"/>
      <c r="B24" s="28" t="s">
        <v>63</v>
      </c>
      <c r="C24" s="45">
        <f>C11+C15+C23</f>
        <v>483312.9</v>
      </c>
      <c r="D24" s="45">
        <f>D11+D15+D23</f>
        <v>966500</v>
      </c>
      <c r="E24" s="45"/>
      <c r="F24" s="45"/>
      <c r="G24" s="45">
        <f>SUM(C24:F24)</f>
        <v>1449812.9</v>
      </c>
      <c r="H24" s="25"/>
    </row>
    <row r="25" spans="1:8" s="30" customFormat="1" ht="23.25" customHeight="1" thickTop="1">
      <c r="A25" s="29"/>
      <c r="C25" s="31"/>
      <c r="D25" s="31"/>
      <c r="E25" s="31"/>
      <c r="F25" s="31"/>
      <c r="G25" s="31"/>
    </row>
    <row r="26" spans="1:8" s="6" customFormat="1" ht="23.25" customHeight="1">
      <c r="A26" s="32"/>
      <c r="C26" s="4"/>
      <c r="D26" s="4"/>
      <c r="E26" s="4"/>
      <c r="F26" s="4"/>
      <c r="G26" s="4"/>
    </row>
    <row r="27" spans="1:8" s="6" customFormat="1" ht="23.25" customHeight="1">
      <c r="A27" s="32"/>
      <c r="C27" s="4"/>
      <c r="D27" s="4"/>
      <c r="E27" s="4"/>
      <c r="F27" s="4"/>
      <c r="G27" s="4"/>
    </row>
    <row r="28" spans="1:8" s="6" customFormat="1" ht="23.25" customHeight="1">
      <c r="A28" s="32"/>
      <c r="C28" s="4"/>
      <c r="D28" s="4"/>
      <c r="E28" s="4"/>
      <c r="F28" s="4"/>
      <c r="G28" s="4"/>
    </row>
    <row r="29" spans="1:8" s="6" customFormat="1" ht="23.25" customHeight="1">
      <c r="A29" s="32"/>
      <c r="C29" s="4"/>
      <c r="D29" s="4"/>
      <c r="E29" s="4"/>
      <c r="F29" s="4"/>
      <c r="G29" s="4"/>
    </row>
    <row r="30" spans="1:8" s="6" customFormat="1" ht="23.25" customHeight="1">
      <c r="A30" s="32"/>
      <c r="C30" s="4"/>
      <c r="D30" s="4"/>
      <c r="E30" s="4"/>
      <c r="F30" s="4"/>
      <c r="G30" s="4"/>
    </row>
    <row r="31" spans="1:8" s="6" customFormat="1" ht="23.25" customHeight="1">
      <c r="A31" s="32"/>
      <c r="C31" s="4"/>
      <c r="D31" s="4"/>
      <c r="E31" s="4"/>
      <c r="F31" s="4"/>
      <c r="G31" s="4"/>
    </row>
    <row r="32" spans="1:8" s="6" customFormat="1" ht="23.25" customHeight="1">
      <c r="A32" s="32"/>
      <c r="C32" s="4"/>
      <c r="D32" s="4"/>
      <c r="E32" s="4"/>
      <c r="F32" s="4"/>
      <c r="G32" s="4"/>
    </row>
    <row r="33" spans="1:7" s="6" customFormat="1" ht="23.25" customHeight="1">
      <c r="A33" s="32"/>
      <c r="C33" s="4"/>
      <c r="D33" s="4"/>
      <c r="E33" s="4"/>
      <c r="F33" s="4"/>
      <c r="G33" s="4"/>
    </row>
  </sheetData>
  <mergeCells count="11">
    <mergeCell ref="F6:F7"/>
    <mergeCell ref="G6:G7"/>
    <mergeCell ref="A3:H3"/>
    <mergeCell ref="G1:H1"/>
    <mergeCell ref="H6:H7"/>
    <mergeCell ref="A2:H2"/>
    <mergeCell ref="A4:H4"/>
    <mergeCell ref="A5:H5"/>
    <mergeCell ref="C6:E6"/>
    <mergeCell ref="A6:A7"/>
    <mergeCell ref="B6:B7"/>
  </mergeCells>
  <phoneticPr fontId="6" type="noConversion"/>
  <pageMargins left="0.55118110236220474" right="0.15748031496062992" top="0.43307086614173229" bottom="0.62992125984251968" header="0.27559055118110237" footer="0.51181102362204722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7" workbookViewId="0">
      <selection activeCell="H9" sqref="H9"/>
    </sheetView>
  </sheetViews>
  <sheetFormatPr defaultRowHeight="24"/>
  <cols>
    <col min="1" max="1" width="4.42578125" style="1" customWidth="1"/>
    <col min="2" max="2" width="36.85546875" style="1" customWidth="1"/>
    <col min="3" max="3" width="14.85546875" style="1" customWidth="1"/>
    <col min="4" max="4" width="13.28515625" style="1" customWidth="1"/>
    <col min="5" max="5" width="15.42578125" style="1" customWidth="1"/>
    <col min="6" max="6" width="13.140625" style="1" customWidth="1"/>
    <col min="7" max="7" width="14.85546875" style="1" customWidth="1"/>
    <col min="8" max="8" width="37.140625" style="1" customWidth="1"/>
    <col min="9" max="16384" width="9.140625" style="1"/>
  </cols>
  <sheetData>
    <row r="1" spans="1:8">
      <c r="G1" s="296" t="s">
        <v>200</v>
      </c>
      <c r="H1" s="296"/>
    </row>
    <row r="2" spans="1:8" ht="30.75">
      <c r="A2" s="322" t="s">
        <v>0</v>
      </c>
      <c r="B2" s="322"/>
      <c r="C2" s="322"/>
      <c r="D2" s="322"/>
      <c r="E2" s="322"/>
      <c r="F2" s="322"/>
      <c r="G2" s="322"/>
      <c r="H2" s="322"/>
    </row>
    <row r="3" spans="1:8" ht="30.75">
      <c r="A3" s="322" t="s">
        <v>72</v>
      </c>
      <c r="B3" s="322"/>
      <c r="C3" s="322"/>
      <c r="D3" s="322"/>
      <c r="E3" s="322"/>
      <c r="F3" s="322"/>
      <c r="G3" s="322"/>
      <c r="H3" s="322"/>
    </row>
    <row r="4" spans="1:8" ht="30.75">
      <c r="A4" s="322" t="s">
        <v>93</v>
      </c>
      <c r="B4" s="322"/>
      <c r="C4" s="322"/>
      <c r="D4" s="322"/>
      <c r="E4" s="322"/>
      <c r="F4" s="322"/>
      <c r="G4" s="322"/>
      <c r="H4" s="322"/>
    </row>
    <row r="5" spans="1:8" ht="23.25" customHeight="1">
      <c r="A5" s="324" t="s">
        <v>342</v>
      </c>
      <c r="B5" s="324"/>
      <c r="C5" s="324"/>
      <c r="D5" s="324"/>
      <c r="E5" s="324"/>
      <c r="F5" s="324"/>
      <c r="G5" s="324"/>
      <c r="H5" s="324"/>
    </row>
    <row r="6" spans="1:8" ht="23.25" customHeight="1">
      <c r="A6" s="140"/>
      <c r="B6" s="140"/>
      <c r="C6" s="140"/>
      <c r="D6" s="140"/>
      <c r="E6" s="140"/>
      <c r="F6" s="140"/>
      <c r="G6" s="140"/>
      <c r="H6" s="140"/>
    </row>
    <row r="7" spans="1:8" ht="23.25" customHeight="1">
      <c r="A7" s="316" t="s">
        <v>44</v>
      </c>
      <c r="B7" s="316" t="s">
        <v>45</v>
      </c>
      <c r="C7" s="319" t="s">
        <v>46</v>
      </c>
      <c r="D7" s="320"/>
      <c r="E7" s="321"/>
      <c r="F7" s="316" t="s">
        <v>49</v>
      </c>
      <c r="G7" s="316" t="s">
        <v>50</v>
      </c>
      <c r="H7" s="323" t="s">
        <v>51</v>
      </c>
    </row>
    <row r="8" spans="1:8" ht="23.25" customHeight="1">
      <c r="A8" s="316"/>
      <c r="B8" s="316"/>
      <c r="C8" s="21" t="s">
        <v>47</v>
      </c>
      <c r="D8" s="21" t="s">
        <v>48</v>
      </c>
      <c r="E8" s="21" t="s">
        <v>52</v>
      </c>
      <c r="F8" s="316"/>
      <c r="G8" s="316"/>
      <c r="H8" s="323"/>
    </row>
    <row r="9" spans="1:8" ht="23.25" customHeight="1">
      <c r="A9" s="15"/>
      <c r="B9" s="226" t="s">
        <v>53</v>
      </c>
      <c r="C9" s="19"/>
      <c r="D9" s="19"/>
      <c r="E9" s="19"/>
      <c r="F9" s="19"/>
      <c r="G9" s="19"/>
      <c r="H9" s="13"/>
    </row>
    <row r="10" spans="1:8" ht="23.25" customHeight="1">
      <c r="A10" s="16">
        <v>1</v>
      </c>
      <c r="B10" s="14" t="s">
        <v>350</v>
      </c>
      <c r="C10" s="18">
        <v>0</v>
      </c>
      <c r="D10" s="18">
        <v>0</v>
      </c>
      <c r="E10" s="18">
        <v>28400</v>
      </c>
      <c r="F10" s="18">
        <v>0</v>
      </c>
      <c r="G10" s="18">
        <v>28400</v>
      </c>
      <c r="H10" s="14" t="s">
        <v>351</v>
      </c>
    </row>
    <row r="11" spans="1:8" ht="23.25" customHeight="1">
      <c r="A11" s="16"/>
      <c r="B11" s="14"/>
      <c r="C11" s="18"/>
      <c r="D11" s="18"/>
      <c r="E11" s="18"/>
      <c r="F11" s="18"/>
      <c r="G11" s="18"/>
      <c r="H11" s="227" t="s">
        <v>352</v>
      </c>
    </row>
    <row r="12" spans="1:8" ht="23.25" customHeight="1">
      <c r="A12" s="16"/>
      <c r="B12" s="21" t="s">
        <v>54</v>
      </c>
      <c r="C12" s="20">
        <f>SUM(C4:C11)</f>
        <v>0</v>
      </c>
      <c r="D12" s="20">
        <f>SUM(D4:D11)</f>
        <v>0</v>
      </c>
      <c r="E12" s="20">
        <f>SUM(E4:E11)</f>
        <v>28400</v>
      </c>
      <c r="F12" s="20">
        <f>SUM(F4:F11)</f>
        <v>0</v>
      </c>
      <c r="G12" s="20">
        <f>SUM(G4:G11)</f>
        <v>28400</v>
      </c>
      <c r="H12" s="12"/>
    </row>
    <row r="13" spans="1:8" ht="23.25" customHeight="1">
      <c r="A13" s="16"/>
      <c r="B13" s="225" t="s">
        <v>85</v>
      </c>
      <c r="C13" s="18"/>
      <c r="D13" s="18"/>
      <c r="E13" s="18"/>
      <c r="F13" s="18"/>
      <c r="G13" s="18"/>
      <c r="H13" s="14"/>
    </row>
    <row r="14" spans="1:8" ht="23.25" customHeight="1">
      <c r="A14" s="16">
        <v>1</v>
      </c>
      <c r="B14" s="14" t="s">
        <v>355</v>
      </c>
      <c r="C14" s="18">
        <v>0</v>
      </c>
      <c r="D14" s="18">
        <v>0</v>
      </c>
      <c r="E14" s="18">
        <f>540000+265000+77000+306000+47400+43000+106000+203000</f>
        <v>1587400</v>
      </c>
      <c r="F14" s="18">
        <v>0</v>
      </c>
      <c r="G14" s="18">
        <v>1587400</v>
      </c>
      <c r="H14" s="14" t="s">
        <v>351</v>
      </c>
    </row>
    <row r="15" spans="1:8" ht="23.25" customHeight="1">
      <c r="A15" s="16"/>
      <c r="B15" s="14" t="s">
        <v>356</v>
      </c>
      <c r="C15" s="18"/>
      <c r="D15" s="18"/>
      <c r="E15" s="18"/>
      <c r="F15" s="18"/>
      <c r="G15" s="18"/>
      <c r="H15" s="14" t="s">
        <v>352</v>
      </c>
    </row>
    <row r="16" spans="1:8" ht="23.25" customHeight="1">
      <c r="A16" s="16"/>
      <c r="B16" s="14" t="s">
        <v>357</v>
      </c>
      <c r="C16" s="18"/>
      <c r="D16" s="18"/>
      <c r="E16" s="18"/>
      <c r="F16" s="18"/>
      <c r="G16" s="18"/>
      <c r="H16" s="14"/>
    </row>
    <row r="17" spans="1:8" ht="23.25" customHeight="1">
      <c r="A17" s="16"/>
      <c r="B17" s="14" t="s">
        <v>358</v>
      </c>
      <c r="C17" s="18"/>
      <c r="D17" s="18"/>
      <c r="E17" s="18"/>
      <c r="F17" s="18"/>
      <c r="G17" s="18"/>
      <c r="H17" s="14"/>
    </row>
    <row r="18" spans="1:8" ht="23.25" customHeight="1">
      <c r="A18" s="16"/>
      <c r="B18" s="14" t="s">
        <v>353</v>
      </c>
      <c r="C18" s="18"/>
      <c r="D18" s="18"/>
      <c r="E18" s="18"/>
      <c r="F18" s="18"/>
      <c r="G18" s="18"/>
      <c r="H18" s="14"/>
    </row>
    <row r="19" spans="1:8" ht="23.25" customHeight="1">
      <c r="A19" s="16"/>
      <c r="B19" s="14"/>
      <c r="C19" s="18"/>
      <c r="D19" s="18"/>
      <c r="E19" s="18"/>
      <c r="F19" s="18"/>
      <c r="G19" s="18"/>
      <c r="H19" s="14"/>
    </row>
    <row r="20" spans="1:8" ht="23.25" customHeight="1">
      <c r="A20" s="16"/>
      <c r="B20" s="21" t="s">
        <v>354</v>
      </c>
      <c r="C20" s="20">
        <f>SUM(C10:C17)</f>
        <v>0</v>
      </c>
      <c r="D20" s="20">
        <f>SUM(D10:D17)</f>
        <v>0</v>
      </c>
      <c r="E20" s="20">
        <f>SUM(E14)</f>
        <v>1587400</v>
      </c>
      <c r="F20" s="20">
        <f>SUM(F10:F17)</f>
        <v>0</v>
      </c>
      <c r="G20" s="20">
        <f>SUM(G13:G17)</f>
        <v>1587400</v>
      </c>
      <c r="H20" s="12"/>
    </row>
    <row r="21" spans="1:8" s="27" customFormat="1" ht="23.25" customHeight="1" thickBot="1">
      <c r="A21" s="24"/>
      <c r="B21" s="28" t="s">
        <v>63</v>
      </c>
      <c r="C21" s="26">
        <f>C20</f>
        <v>0</v>
      </c>
      <c r="D21" s="26">
        <f>D20</f>
        <v>0</v>
      </c>
      <c r="E21" s="45">
        <f>E12+E20</f>
        <v>1615800</v>
      </c>
      <c r="F21" s="45">
        <f>F20</f>
        <v>0</v>
      </c>
      <c r="G21" s="45">
        <f>G12+G20</f>
        <v>1615800</v>
      </c>
      <c r="H21" s="25"/>
    </row>
    <row r="22" spans="1:8" s="30" customFormat="1" ht="23.25" customHeight="1" thickTop="1">
      <c r="A22" s="29"/>
      <c r="C22" s="31"/>
      <c r="D22" s="31"/>
      <c r="E22" s="31"/>
      <c r="F22" s="31"/>
      <c r="G22" s="31"/>
    </row>
    <row r="23" spans="1:8" s="6" customFormat="1" ht="23.25" customHeight="1">
      <c r="A23" s="32"/>
      <c r="C23" s="4"/>
      <c r="D23" s="4"/>
      <c r="E23" s="4"/>
      <c r="F23" s="4"/>
      <c r="G23" s="4"/>
    </row>
    <row r="24" spans="1:8" s="6" customFormat="1" ht="23.25" customHeight="1">
      <c r="A24" s="32"/>
      <c r="C24" s="4"/>
      <c r="D24" s="4"/>
      <c r="E24" s="4"/>
      <c r="F24" s="4"/>
      <c r="G24" s="4"/>
    </row>
    <row r="25" spans="1:8" s="6" customFormat="1" ht="23.25" customHeight="1">
      <c r="A25" s="32"/>
      <c r="C25" s="4"/>
      <c r="D25" s="4"/>
      <c r="E25" s="4"/>
      <c r="F25" s="4"/>
      <c r="G25" s="4"/>
    </row>
    <row r="26" spans="1:8" s="6" customFormat="1" ht="23.25" customHeight="1">
      <c r="A26" s="32"/>
      <c r="C26" s="4"/>
      <c r="D26" s="4"/>
      <c r="E26" s="4"/>
      <c r="F26" s="4"/>
      <c r="G26" s="4"/>
    </row>
    <row r="27" spans="1:8" s="6" customFormat="1" ht="23.25" customHeight="1">
      <c r="A27" s="32"/>
      <c r="C27" s="4"/>
      <c r="D27" s="4"/>
      <c r="E27" s="4"/>
      <c r="F27" s="4"/>
      <c r="G27" s="4"/>
    </row>
    <row r="28" spans="1:8" s="6" customFormat="1" ht="23.25" customHeight="1">
      <c r="A28" s="32"/>
      <c r="C28" s="4"/>
      <c r="D28" s="4"/>
      <c r="E28" s="4"/>
      <c r="F28" s="4"/>
      <c r="G28" s="4"/>
    </row>
    <row r="29" spans="1:8" s="6" customFormat="1" ht="23.25" customHeight="1">
      <c r="A29" s="32"/>
      <c r="C29" s="4"/>
      <c r="D29" s="4"/>
      <c r="E29" s="4"/>
      <c r="F29" s="4"/>
      <c r="G29" s="4"/>
    </row>
    <row r="30" spans="1:8" s="6" customFormat="1" ht="23.25" customHeight="1">
      <c r="A30" s="32"/>
      <c r="C30" s="4"/>
      <c r="D30" s="4"/>
      <c r="E30" s="4"/>
      <c r="F30" s="4"/>
      <c r="G30" s="4"/>
    </row>
  </sheetData>
  <mergeCells count="11">
    <mergeCell ref="A3:H3"/>
    <mergeCell ref="G1:H1"/>
    <mergeCell ref="H7:H8"/>
    <mergeCell ref="A2:H2"/>
    <mergeCell ref="A4:H4"/>
    <mergeCell ref="A5:H5"/>
    <mergeCell ref="C7:E7"/>
    <mergeCell ref="A7:A8"/>
    <mergeCell ref="B7:B8"/>
    <mergeCell ref="F7:F8"/>
    <mergeCell ref="G7:G8"/>
  </mergeCells>
  <phoneticPr fontId="6" type="noConversion"/>
  <pageMargins left="0.55118110236220474" right="0.15748031496062992" top="0.43307086614173229" bottom="0.62992125984251968" header="0.27559055118110237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32</vt:i4>
      </vt:variant>
      <vt:variant>
        <vt:lpstr>ช่วงที่มีชื่อ</vt:lpstr>
      </vt:variant>
      <vt:variant>
        <vt:i4>2</vt:i4>
      </vt:variant>
    </vt:vector>
  </HeadingPairs>
  <TitlesOfParts>
    <vt:vector size="34" baseType="lpstr">
      <vt:lpstr>ก.ย. (ปป.)</vt:lpstr>
      <vt:lpstr>งบทดลอง(หลัง)</vt:lpstr>
      <vt:lpstr>งบแสดงฐานะการเงิน</vt:lpstr>
      <vt:lpstr>งบทรัพย์สิน </vt:lpstr>
      <vt:lpstr>ทรัพย์สินเพิ่ม-ลด </vt:lpstr>
      <vt:lpstr>เงินฝาก(หมายเหตุ 2)</vt:lpstr>
      <vt:lpstr>เงินรับฝาก(หมายเหตุ 3)</vt:lpstr>
      <vt:lpstr>รายจ่ายค้างจ่าย(หมายเหตุ 4)</vt:lpstr>
      <vt:lpstr>รายจ่ายรอจ่าย(หมายเหตุ 5)</vt:lpstr>
      <vt:lpstr>งบเงินสะสม(หมายเหตุ 6)</vt:lpstr>
      <vt:lpstr>จ่ายขาดเงินสะสม 30 กย.</vt:lpstr>
      <vt:lpstr>จ่ายจากเงินรายรับ (รวม)</vt:lpstr>
      <vt:lpstr>หมายเหตุ</vt:lpstr>
      <vt:lpstr>จ่ายจากเงินรายรับ (เฉพาะกิจ</vt:lpstr>
      <vt:lpstr>จ่ายจากเงินรายรับ</vt:lpstr>
      <vt:lpstr>งานบริหารทั่วไป</vt:lpstr>
      <vt:lpstr>รักษาความสงบ </vt:lpstr>
      <vt:lpstr>การศึกษา </vt:lpstr>
      <vt:lpstr>สาธารณสุข</vt:lpstr>
      <vt:lpstr>สังคมสงเคราะห์</vt:lpstr>
      <vt:lpstr>เคหะและชุมชน </vt:lpstr>
      <vt:lpstr>สร้างความเข้มแข็ง </vt:lpstr>
      <vt:lpstr>ศาสนา</vt:lpstr>
      <vt:lpstr>เกษตร </vt:lpstr>
      <vt:lpstr>พาณิชย์</vt:lpstr>
      <vt:lpstr>งบกลาง</vt:lpstr>
      <vt:lpstr>531000</vt:lpstr>
      <vt:lpstr>532000</vt:lpstr>
      <vt:lpstr>533000</vt:lpstr>
      <vt:lpstr>534000</vt:lpstr>
      <vt:lpstr>วิเคราะห์งบ</vt:lpstr>
      <vt:lpstr>คงเหลือ</vt:lpstr>
      <vt:lpstr>'รายจ่ายค้างจ่าย(หมายเหตุ 4)'!Print_Titles</vt:lpstr>
      <vt:lpstr>'รายจ่ายรอจ่าย(หมายเหตุ 5)'!Print_Titles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STS</cp:lastModifiedBy>
  <cp:lastPrinted>2013-11-19T07:22:31Z</cp:lastPrinted>
  <dcterms:created xsi:type="dcterms:W3CDTF">1996-10-14T23:33:28Z</dcterms:created>
  <dcterms:modified xsi:type="dcterms:W3CDTF">2018-07-09T04:12:40Z</dcterms:modified>
</cp:coreProperties>
</file>